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346981B-AF11-4A32-B7B9-E9CF9E27A3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msi V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2" l="1"/>
  <c r="C88" i="2"/>
  <c r="D48" i="2" l="1"/>
  <c r="P48" i="2" l="1"/>
  <c r="O48" i="2"/>
  <c r="N48" i="2"/>
  <c r="M48" i="2"/>
  <c r="L48" i="2"/>
  <c r="K48" i="2"/>
  <c r="J48" i="2"/>
  <c r="H48" i="2"/>
  <c r="I48" i="2"/>
  <c r="G48" i="2"/>
  <c r="F48" i="2"/>
  <c r="E48" i="2"/>
  <c r="B30" i="2"/>
  <c r="D44" i="2" l="1"/>
  <c r="E44" i="2" s="1"/>
  <c r="F44" i="2" s="1"/>
  <c r="G44" i="2" s="1"/>
  <c r="H44" i="2" s="1"/>
  <c r="I44" i="2" s="1"/>
  <c r="J44" i="2" s="1"/>
  <c r="K44" i="2" s="1"/>
  <c r="D43" i="2"/>
  <c r="E43" i="2" s="1"/>
  <c r="F43" i="2" s="1"/>
  <c r="G43" i="2" s="1"/>
  <c r="H43" i="2" s="1"/>
  <c r="I43" i="2" s="1"/>
  <c r="D42" i="2"/>
  <c r="E42" i="2" s="1"/>
  <c r="F42" i="2" s="1"/>
  <c r="G42" i="2" s="1"/>
  <c r="H42" i="2" s="1"/>
  <c r="I42" i="2" s="1"/>
  <c r="L44" i="2" l="1"/>
  <c r="M44" i="2" s="1"/>
  <c r="N44" i="2" s="1"/>
  <c r="O44" i="2" s="1"/>
  <c r="P44" i="2" s="1"/>
  <c r="J42" i="2"/>
  <c r="K42" i="2" s="1"/>
  <c r="J43" i="2"/>
  <c r="K43" i="2" s="1"/>
  <c r="B31" i="2"/>
  <c r="L42" i="2" l="1"/>
  <c r="M42" i="2" s="1"/>
  <c r="N42" i="2" s="1"/>
  <c r="L43" i="2"/>
  <c r="M43" i="2" s="1"/>
  <c r="N43" i="2" s="1"/>
  <c r="O43" i="2" s="1"/>
  <c r="P43" i="2" s="1"/>
  <c r="C46" i="2"/>
  <c r="D46" i="2"/>
  <c r="B46" i="2"/>
  <c r="D30" i="2" s="1"/>
  <c r="B21" i="2"/>
  <c r="B20" i="2"/>
  <c r="C21" i="2"/>
  <c r="C20" i="2"/>
  <c r="B15" i="2"/>
  <c r="B7" i="2" s="1"/>
  <c r="B3" i="2"/>
  <c r="B8" i="2"/>
  <c r="B9" i="2"/>
  <c r="B14" i="2"/>
  <c r="B6" i="2" s="1"/>
  <c r="C15" i="2"/>
  <c r="C14" i="2"/>
  <c r="C54" i="2"/>
  <c r="O42" i="2" l="1"/>
  <c r="P42" i="2" s="1"/>
  <c r="N46" i="2"/>
  <c r="B55" i="2"/>
  <c r="B56" i="2" s="1"/>
  <c r="B79" i="2" l="1"/>
  <c r="P3" i="2"/>
  <c r="E88" i="2"/>
  <c r="F88" i="2"/>
  <c r="G88" i="2"/>
  <c r="H88" i="2"/>
  <c r="I88" i="2"/>
  <c r="J88" i="2"/>
  <c r="K88" i="2"/>
  <c r="L88" i="2"/>
  <c r="M88" i="2"/>
  <c r="N88" i="2"/>
  <c r="O88" i="2"/>
  <c r="P88" i="2"/>
  <c r="D88" i="2"/>
  <c r="E46" i="2" l="1"/>
  <c r="F46" i="2"/>
  <c r="C55" i="2"/>
  <c r="B58" i="2" l="1"/>
  <c r="G46" i="2"/>
  <c r="C9" i="2"/>
  <c r="C8" i="2"/>
  <c r="B84" i="2" l="1"/>
  <c r="C30" i="2"/>
  <c r="B61" i="2"/>
  <c r="B77" i="2"/>
  <c r="C7" i="2"/>
  <c r="D7" i="2" s="1"/>
  <c r="C6" i="2"/>
  <c r="D6" i="2" s="1"/>
  <c r="D55" i="2"/>
  <c r="H46" i="2" l="1"/>
  <c r="E55" i="2"/>
  <c r="I46" i="2" l="1"/>
  <c r="F55" i="2"/>
  <c r="J46" i="2" l="1"/>
  <c r="G55" i="2"/>
  <c r="K46" i="2" l="1"/>
  <c r="L46" i="2" l="1"/>
  <c r="P72" i="2"/>
  <c r="P79" i="2"/>
  <c r="M46" i="2" l="1"/>
  <c r="P31" i="2"/>
  <c r="H55" i="2" l="1"/>
  <c r="E30" i="2"/>
  <c r="P46" i="2" l="1"/>
  <c r="O46" i="2"/>
  <c r="I55" i="2"/>
  <c r="F30" i="2"/>
  <c r="J55" i="2" l="1"/>
  <c r="G30" i="2"/>
  <c r="K55" i="2" l="1"/>
  <c r="H30" i="2"/>
  <c r="I30" i="2"/>
  <c r="B37" i="2"/>
  <c r="C31" i="2"/>
  <c r="L55" i="2" l="1"/>
  <c r="J30" i="2"/>
  <c r="C37" i="2"/>
  <c r="M55" i="2" l="1"/>
  <c r="D31" i="2"/>
  <c r="C58" i="2"/>
  <c r="C84" i="2" s="1"/>
  <c r="D37" i="2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C3" i="2"/>
  <c r="D3" i="2"/>
  <c r="E3" i="2"/>
  <c r="F3" i="2"/>
  <c r="G3" i="2"/>
  <c r="H3" i="2"/>
  <c r="I3" i="2"/>
  <c r="J3" i="2"/>
  <c r="K3" i="2"/>
  <c r="L3" i="2"/>
  <c r="M3" i="2"/>
  <c r="N3" i="2"/>
  <c r="O3" i="2"/>
  <c r="N55" i="2" l="1"/>
  <c r="K30" i="2"/>
  <c r="D24" i="2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D19" i="2"/>
  <c r="E19" i="2" s="1"/>
  <c r="F19" i="2" s="1"/>
  <c r="G19" i="2" s="1"/>
  <c r="H19" i="2" s="1"/>
  <c r="I19" i="2" s="1"/>
  <c r="J19" i="2" s="1"/>
  <c r="K19" i="2" s="1"/>
  <c r="L19" i="2" s="1"/>
  <c r="M19" i="2" s="1"/>
  <c r="D9" i="2"/>
  <c r="E9" i="2" s="1"/>
  <c r="F9" i="2" s="1"/>
  <c r="L30" i="2"/>
  <c r="E58" i="2"/>
  <c r="E37" i="2"/>
  <c r="D8" i="2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B26" i="2"/>
  <c r="B86" i="2" s="1"/>
  <c r="B89" i="2" s="1"/>
  <c r="D21" i="2"/>
  <c r="E21" i="2" s="1"/>
  <c r="F21" i="2" s="1"/>
  <c r="G21" i="2" s="1"/>
  <c r="H21" i="2" s="1"/>
  <c r="I21" i="2" s="1"/>
  <c r="J21" i="2" s="1"/>
  <c r="K21" i="2" s="1"/>
  <c r="L21" i="2" s="1"/>
  <c r="M21" i="2" s="1"/>
  <c r="D20" i="2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D22" i="2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B33" i="2" l="1"/>
  <c r="B49" i="2" s="1"/>
  <c r="B47" i="2" s="1"/>
  <c r="B62" i="2"/>
  <c r="B63" i="2" s="1"/>
  <c r="B66" i="2" s="1"/>
  <c r="B78" i="2"/>
  <c r="O24" i="2"/>
  <c r="P24" i="2" s="1"/>
  <c r="O22" i="2"/>
  <c r="P22" i="2" s="1"/>
  <c r="P8" i="2"/>
  <c r="O16" i="2"/>
  <c r="O55" i="2"/>
  <c r="N21" i="2"/>
  <c r="N19" i="2"/>
  <c r="D58" i="2"/>
  <c r="E16" i="2"/>
  <c r="F37" i="2"/>
  <c r="D16" i="2"/>
  <c r="D17" i="2"/>
  <c r="E17" i="2"/>
  <c r="E83" i="2"/>
  <c r="F83" i="2" s="1"/>
  <c r="G83" i="2" s="1"/>
  <c r="H83" i="2" s="1"/>
  <c r="I83" i="2" s="1"/>
  <c r="J83" i="2" s="1"/>
  <c r="K83" i="2" s="1"/>
  <c r="L83" i="2" s="1"/>
  <c r="M83" i="2" s="1"/>
  <c r="N83" i="2" s="1"/>
  <c r="O83" i="2" s="1"/>
  <c r="P83" i="2" s="1"/>
  <c r="D60" i="2"/>
  <c r="E60" i="2" s="1"/>
  <c r="F60" i="2" s="1"/>
  <c r="G60" i="2" s="1"/>
  <c r="H60" i="2" s="1"/>
  <c r="I60" i="2" s="1"/>
  <c r="J60" i="2" s="1"/>
  <c r="K60" i="2" s="1"/>
  <c r="L60" i="2" s="1"/>
  <c r="M60" i="2" s="1"/>
  <c r="N60" i="2" s="1"/>
  <c r="O60" i="2" s="1"/>
  <c r="P60" i="2" s="1"/>
  <c r="D76" i="2"/>
  <c r="E76" i="2" s="1"/>
  <c r="F76" i="2" s="1"/>
  <c r="G76" i="2" s="1"/>
  <c r="H76" i="2" s="1"/>
  <c r="I76" i="2" s="1"/>
  <c r="J76" i="2" s="1"/>
  <c r="K76" i="2" s="1"/>
  <c r="L76" i="2" s="1"/>
  <c r="M76" i="2" s="1"/>
  <c r="N76" i="2" s="1"/>
  <c r="O76" i="2" s="1"/>
  <c r="P76" i="2" s="1"/>
  <c r="B80" i="2" l="1"/>
  <c r="B81" i="2"/>
  <c r="O21" i="2"/>
  <c r="P21" i="2" s="1"/>
  <c r="O19" i="2"/>
  <c r="P19" i="2" s="1"/>
  <c r="P55" i="2"/>
  <c r="M30" i="2"/>
  <c r="F16" i="2"/>
  <c r="F58" i="2"/>
  <c r="G58" i="2"/>
  <c r="F17" i="2"/>
  <c r="G37" i="2"/>
  <c r="G9" i="2"/>
  <c r="H9" i="2" s="1"/>
  <c r="G16" i="2"/>
  <c r="D79" i="2"/>
  <c r="E79" i="2"/>
  <c r="F79" i="2"/>
  <c r="G79" i="2"/>
  <c r="H79" i="2"/>
  <c r="I79" i="2"/>
  <c r="J79" i="2"/>
  <c r="K79" i="2"/>
  <c r="L79" i="2"/>
  <c r="M79" i="2"/>
  <c r="N79" i="2"/>
  <c r="O79" i="2"/>
  <c r="C79" i="2"/>
  <c r="N30" i="2" l="1"/>
  <c r="H58" i="2"/>
  <c r="H37" i="2"/>
  <c r="H17" i="2" s="1"/>
  <c r="G17" i="2"/>
  <c r="H16" i="2"/>
  <c r="I9" i="2"/>
  <c r="O30" i="2" l="1"/>
  <c r="P30" i="2"/>
  <c r="I58" i="2"/>
  <c r="I37" i="2"/>
  <c r="I17" i="2" s="1"/>
  <c r="J9" i="2"/>
  <c r="I16" i="2"/>
  <c r="E31" i="2"/>
  <c r="F31" i="2"/>
  <c r="G31" i="2"/>
  <c r="H31" i="2"/>
  <c r="I31" i="2"/>
  <c r="J31" i="2"/>
  <c r="K31" i="2"/>
  <c r="L31" i="2"/>
  <c r="M31" i="2"/>
  <c r="N31" i="2"/>
  <c r="O31" i="2"/>
  <c r="J58" i="2" l="1"/>
  <c r="J37" i="2"/>
  <c r="J17" i="2" s="1"/>
  <c r="K9" i="2"/>
  <c r="J16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D54" i="2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D41" i="2"/>
  <c r="E41" i="2" s="1"/>
  <c r="F41" i="2" s="1"/>
  <c r="G41" i="2" s="1"/>
  <c r="H41" i="2" s="1"/>
  <c r="I41" i="2" s="1"/>
  <c r="J41" i="2" s="1"/>
  <c r="K41" i="2" s="1"/>
  <c r="L41" i="2" s="1"/>
  <c r="M41" i="2" s="1"/>
  <c r="N41" i="2" s="1"/>
  <c r="O41" i="2" s="1"/>
  <c r="P41" i="2" s="1"/>
  <c r="C35" i="2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P56" i="2" l="1"/>
  <c r="K58" i="2"/>
  <c r="K37" i="2"/>
  <c r="K17" i="2" s="1"/>
  <c r="L9" i="2"/>
  <c r="K16" i="2"/>
  <c r="D23" i="2"/>
  <c r="E23" i="2" s="1"/>
  <c r="F23" i="2" s="1"/>
  <c r="G23" i="2" s="1"/>
  <c r="H23" i="2" s="1"/>
  <c r="I23" i="2" s="1"/>
  <c r="J23" i="2" s="1"/>
  <c r="K23" i="2" s="1"/>
  <c r="L23" i="2" s="1"/>
  <c r="M23" i="2" s="1"/>
  <c r="N23" i="2" s="1"/>
  <c r="B70" i="2"/>
  <c r="B72" i="2"/>
  <c r="O23" i="2" l="1"/>
  <c r="P23" i="2" s="1"/>
  <c r="L58" i="2"/>
  <c r="L37" i="2"/>
  <c r="L17" i="2" s="1"/>
  <c r="M9" i="2"/>
  <c r="L16" i="2"/>
  <c r="B69" i="2"/>
  <c r="B71" i="2" s="1"/>
  <c r="M37" i="2" l="1"/>
  <c r="N58" i="2"/>
  <c r="M16" i="2"/>
  <c r="M17" i="2"/>
  <c r="N9" i="2"/>
  <c r="C69" i="2"/>
  <c r="D56" i="2"/>
  <c r="C56" i="2"/>
  <c r="C77" i="2"/>
  <c r="C61" i="2"/>
  <c r="M58" i="2" l="1"/>
  <c r="N37" i="2"/>
  <c r="N17" i="2" s="1"/>
  <c r="O9" i="2"/>
  <c r="N16" i="2"/>
  <c r="D69" i="2"/>
  <c r="D84" i="2"/>
  <c r="E69" i="2"/>
  <c r="E84" i="2"/>
  <c r="E56" i="2"/>
  <c r="D77" i="2"/>
  <c r="D61" i="2"/>
  <c r="E77" i="2"/>
  <c r="E61" i="2"/>
  <c r="F84" i="2"/>
  <c r="P9" i="2" l="1"/>
  <c r="O17" i="2"/>
  <c r="P16" i="2"/>
  <c r="O37" i="2"/>
  <c r="P37" i="2"/>
  <c r="F56" i="2"/>
  <c r="G84" i="2"/>
  <c r="F69" i="2"/>
  <c r="F61" i="2"/>
  <c r="F77" i="2"/>
  <c r="P17" i="2" l="1"/>
  <c r="P58" i="2"/>
  <c r="O58" i="2"/>
  <c r="G56" i="2"/>
  <c r="H84" i="2"/>
  <c r="G61" i="2"/>
  <c r="G77" i="2"/>
  <c r="G69" i="2"/>
  <c r="P77" i="2" l="1"/>
  <c r="P69" i="2"/>
  <c r="P61" i="2"/>
  <c r="P84" i="2"/>
  <c r="H56" i="2"/>
  <c r="H77" i="2"/>
  <c r="H69" i="2"/>
  <c r="H61" i="2"/>
  <c r="I84" i="2"/>
  <c r="I56" i="2" l="1"/>
  <c r="J84" i="2"/>
  <c r="I77" i="2"/>
  <c r="I69" i="2"/>
  <c r="I61" i="2"/>
  <c r="J56" i="2" l="1"/>
  <c r="K84" i="2"/>
  <c r="J77" i="2"/>
  <c r="J69" i="2"/>
  <c r="J61" i="2"/>
  <c r="K56" i="2" l="1"/>
  <c r="L84" i="2"/>
  <c r="K69" i="2"/>
  <c r="K61" i="2"/>
  <c r="K77" i="2"/>
  <c r="L56" i="2" l="1"/>
  <c r="L69" i="2"/>
  <c r="L61" i="2"/>
  <c r="L77" i="2"/>
  <c r="M84" i="2"/>
  <c r="M56" i="2" l="1"/>
  <c r="O84" i="2"/>
  <c r="M69" i="2"/>
  <c r="M61" i="2"/>
  <c r="M77" i="2"/>
  <c r="N84" i="2"/>
  <c r="O56" i="2" l="1"/>
  <c r="N56" i="2"/>
  <c r="O61" i="2"/>
  <c r="O77" i="2"/>
  <c r="O69" i="2"/>
  <c r="N69" i="2"/>
  <c r="N61" i="2"/>
  <c r="N77" i="2"/>
  <c r="E6" i="2" l="1"/>
  <c r="D14" i="2"/>
  <c r="F6" i="2" l="1"/>
  <c r="E14" i="2"/>
  <c r="F14" i="2" l="1"/>
  <c r="G6" i="2"/>
  <c r="H6" i="2" l="1"/>
  <c r="G14" i="2"/>
  <c r="H14" i="2" l="1"/>
  <c r="I6" i="2"/>
  <c r="J6" i="2" l="1"/>
  <c r="I14" i="2"/>
  <c r="K6" i="2" l="1"/>
  <c r="J14" i="2"/>
  <c r="K14" i="2" l="1"/>
  <c r="L6" i="2"/>
  <c r="M6" i="2" l="1"/>
  <c r="L14" i="2"/>
  <c r="M14" i="2" l="1"/>
  <c r="N6" i="2"/>
  <c r="O6" i="2" l="1"/>
  <c r="O14" i="2" s="1"/>
  <c r="N14" i="2"/>
  <c r="P6" i="2" l="1"/>
  <c r="P14" i="2" s="1"/>
  <c r="C26" i="2"/>
  <c r="C86" i="2" s="1"/>
  <c r="C89" i="2" s="1"/>
  <c r="D15" i="2"/>
  <c r="D26" i="2" s="1"/>
  <c r="E7" i="2" l="1"/>
  <c r="F7" i="2" s="1"/>
  <c r="D33" i="2"/>
  <c r="D86" i="2"/>
  <c r="D89" i="2" s="1"/>
  <c r="D78" i="2"/>
  <c r="D62" i="2"/>
  <c r="D63" i="2" s="1"/>
  <c r="D66" i="2" s="1"/>
  <c r="D70" i="2"/>
  <c r="D71" i="2" s="1"/>
  <c r="C70" i="2"/>
  <c r="C71" i="2" s="1"/>
  <c r="C78" i="2"/>
  <c r="C33" i="2"/>
  <c r="C49" i="2" s="1"/>
  <c r="C47" i="2" s="1"/>
  <c r="C62" i="2"/>
  <c r="C63" i="2" s="1"/>
  <c r="C66" i="2" s="1"/>
  <c r="D90" i="2" l="1"/>
  <c r="E15" i="2"/>
  <c r="E26" i="2" s="1"/>
  <c r="E78" i="2" s="1"/>
  <c r="D49" i="2"/>
  <c r="D47" i="2" s="1"/>
  <c r="D80" i="2"/>
  <c r="D81" i="2"/>
  <c r="C80" i="2"/>
  <c r="C81" i="2"/>
  <c r="G7" i="2"/>
  <c r="F15" i="2"/>
  <c r="F26" i="2" s="1"/>
  <c r="E86" i="2" l="1"/>
  <c r="E89" i="2" s="1"/>
  <c r="E90" i="2" s="1"/>
  <c r="E33" i="2"/>
  <c r="E49" i="2" s="1"/>
  <c r="E47" i="2" s="1"/>
  <c r="E70" i="2"/>
  <c r="E71" i="2" s="1"/>
  <c r="E62" i="2"/>
  <c r="E63" i="2" s="1"/>
  <c r="E66" i="2" s="1"/>
  <c r="F33" i="2"/>
  <c r="F86" i="2"/>
  <c r="F89" i="2" s="1"/>
  <c r="F70" i="2"/>
  <c r="F71" i="2" s="1"/>
  <c r="F78" i="2"/>
  <c r="F62" i="2"/>
  <c r="F63" i="2" s="1"/>
  <c r="F66" i="2" s="1"/>
  <c r="H7" i="2"/>
  <c r="G15" i="2"/>
  <c r="G26" i="2" s="1"/>
  <c r="E80" i="2"/>
  <c r="E81" i="2"/>
  <c r="F49" i="2" l="1"/>
  <c r="F47" i="2" s="1"/>
  <c r="F90" i="2"/>
  <c r="G70" i="2"/>
  <c r="G71" i="2" s="1"/>
  <c r="G86" i="2"/>
  <c r="G89" i="2" s="1"/>
  <c r="G33" i="2"/>
  <c r="G78" i="2"/>
  <c r="G62" i="2"/>
  <c r="G63" i="2" s="1"/>
  <c r="G66" i="2" s="1"/>
  <c r="H15" i="2"/>
  <c r="H26" i="2" s="1"/>
  <c r="I7" i="2"/>
  <c r="F80" i="2"/>
  <c r="F81" i="2"/>
  <c r="G49" i="2" l="1"/>
  <c r="G47" i="2" s="1"/>
  <c r="G90" i="2"/>
  <c r="J7" i="2"/>
  <c r="I15" i="2"/>
  <c r="I26" i="2" s="1"/>
  <c r="H78" i="2"/>
  <c r="H62" i="2"/>
  <c r="H63" i="2" s="1"/>
  <c r="H66" i="2" s="1"/>
  <c r="H70" i="2"/>
  <c r="H71" i="2" s="1"/>
  <c r="H86" i="2"/>
  <c r="H89" i="2" s="1"/>
  <c r="H33" i="2"/>
  <c r="G80" i="2"/>
  <c r="G81" i="2"/>
  <c r="H49" i="2" l="1"/>
  <c r="H47" i="2" s="1"/>
  <c r="H90" i="2"/>
  <c r="H80" i="2"/>
  <c r="H81" i="2"/>
  <c r="I78" i="2"/>
  <c r="I86" i="2"/>
  <c r="I89" i="2" s="1"/>
  <c r="I62" i="2"/>
  <c r="I63" i="2" s="1"/>
  <c r="I66" i="2" s="1"/>
  <c r="I33" i="2"/>
  <c r="I70" i="2"/>
  <c r="I71" i="2" s="1"/>
  <c r="K7" i="2"/>
  <c r="J15" i="2"/>
  <c r="J26" i="2" s="1"/>
  <c r="I49" i="2" l="1"/>
  <c r="I47" i="2" s="1"/>
  <c r="I90" i="2"/>
  <c r="I81" i="2"/>
  <c r="I80" i="2"/>
  <c r="J70" i="2"/>
  <c r="J71" i="2" s="1"/>
  <c r="J86" i="2"/>
  <c r="J89" i="2" s="1"/>
  <c r="J62" i="2"/>
  <c r="J63" i="2" s="1"/>
  <c r="J66" i="2" s="1"/>
  <c r="J78" i="2"/>
  <c r="J33" i="2"/>
  <c r="L7" i="2"/>
  <c r="K15" i="2"/>
  <c r="K26" i="2" s="1"/>
  <c r="J49" i="2" l="1"/>
  <c r="J47" i="2" s="1"/>
  <c r="J90" i="2"/>
  <c r="J80" i="2"/>
  <c r="J81" i="2"/>
  <c r="K78" i="2"/>
  <c r="K33" i="2"/>
  <c r="K86" i="2"/>
  <c r="K89" i="2" s="1"/>
  <c r="K70" i="2"/>
  <c r="K71" i="2" s="1"/>
  <c r="K62" i="2"/>
  <c r="K63" i="2" s="1"/>
  <c r="L15" i="2"/>
  <c r="L26" i="2" s="1"/>
  <c r="M7" i="2"/>
  <c r="K49" i="2" l="1"/>
  <c r="K47" i="2" s="1"/>
  <c r="K90" i="2"/>
  <c r="K80" i="2"/>
  <c r="K81" i="2"/>
  <c r="M15" i="2"/>
  <c r="M26" i="2" s="1"/>
  <c r="N7" i="2"/>
  <c r="L78" i="2"/>
  <c r="L86" i="2"/>
  <c r="L89" i="2" s="1"/>
  <c r="L33" i="2"/>
  <c r="L70" i="2"/>
  <c r="L71" i="2" s="1"/>
  <c r="L62" i="2"/>
  <c r="L63" i="2" s="1"/>
  <c r="L49" i="2" l="1"/>
  <c r="L47" i="2" s="1"/>
  <c r="L90" i="2"/>
  <c r="L80" i="2"/>
  <c r="L81" i="2"/>
  <c r="N15" i="2"/>
  <c r="N26" i="2" s="1"/>
  <c r="O7" i="2"/>
  <c r="O15" i="2" s="1"/>
  <c r="M33" i="2"/>
  <c r="M62" i="2"/>
  <c r="M63" i="2" s="1"/>
  <c r="M86" i="2"/>
  <c r="M89" i="2" s="1"/>
  <c r="M70" i="2"/>
  <c r="M71" i="2" s="1"/>
  <c r="M78" i="2"/>
  <c r="M49" i="2" l="1"/>
  <c r="M47" i="2" s="1"/>
  <c r="M90" i="2"/>
  <c r="O26" i="2"/>
  <c r="P7" i="2"/>
  <c r="P15" i="2" s="1"/>
  <c r="P26" i="2" s="1"/>
  <c r="N62" i="2"/>
  <c r="N63" i="2" s="1"/>
  <c r="N33" i="2"/>
  <c r="N86" i="2"/>
  <c r="N89" i="2" s="1"/>
  <c r="N78" i="2"/>
  <c r="N70" i="2"/>
  <c r="N71" i="2" s="1"/>
  <c r="M81" i="2"/>
  <c r="M80" i="2"/>
  <c r="N49" i="2" l="1"/>
  <c r="N47" i="2" s="1"/>
  <c r="N90" i="2"/>
  <c r="P70" i="2"/>
  <c r="P71" i="2" s="1"/>
  <c r="P86" i="2"/>
  <c r="P89" i="2" s="1"/>
  <c r="P33" i="2"/>
  <c r="P78" i="2"/>
  <c r="P62" i="2"/>
  <c r="P63" i="2" s="1"/>
  <c r="O78" i="2"/>
  <c r="O86" i="2"/>
  <c r="O89" i="2" s="1"/>
  <c r="O62" i="2"/>
  <c r="O63" i="2" s="1"/>
  <c r="O70" i="2"/>
  <c r="O71" i="2" s="1"/>
  <c r="O33" i="2"/>
  <c r="N81" i="2"/>
  <c r="N80" i="2"/>
  <c r="P49" i="2" l="1"/>
  <c r="P47" i="2" s="1"/>
  <c r="O49" i="2"/>
  <c r="O47" i="2" s="1"/>
  <c r="O90" i="2"/>
  <c r="P90" i="2" s="1"/>
  <c r="O80" i="2"/>
  <c r="O81" i="2"/>
  <c r="P81" i="2"/>
  <c r="P80" i="2"/>
</calcChain>
</file>

<file path=xl/sharedStrings.xml><?xml version="1.0" encoding="utf-8"?>
<sst xmlns="http://schemas.openxmlformats.org/spreadsheetml/2006/main" count="73" uniqueCount="65">
  <si>
    <t>Hinnamuutuse indeks</t>
  </si>
  <si>
    <t>Vee-erikasutustasu</t>
  </si>
  <si>
    <t>Tööjõukulu muutuse indeks</t>
  </si>
  <si>
    <t>TOOTMISMAHUD</t>
  </si>
  <si>
    <t>MUUTUVKULUD</t>
  </si>
  <si>
    <t>PÜSIKULUD</t>
  </si>
  <si>
    <t>Tööjõukulu</t>
  </si>
  <si>
    <t>Reovee saastetasu</t>
  </si>
  <si>
    <t>VESI MÜÜDUD KOKKU</t>
  </si>
  <si>
    <t>REOVESI MÜÜDUD KOKKU</t>
  </si>
  <si>
    <t>TEGEVUSKULUDE JA LAENUKATTKORDAJA TÄITMINE</t>
  </si>
  <si>
    <t>TEGEVUSTULUD</t>
  </si>
  <si>
    <t>Elektrikulu reoveepuhasti ja -pumplad</t>
  </si>
  <si>
    <t>Elektrikulu joogiveevarustus</t>
  </si>
  <si>
    <t xml:space="preserve">Muud kulud </t>
  </si>
  <si>
    <t>FINANTSKOHUSTUSED</t>
  </si>
  <si>
    <t>TULUD KOKKU</t>
  </si>
  <si>
    <t>RAHAVOOG ENNE LAENUTEENINDUST</t>
  </si>
  <si>
    <t>LAENUKATTEKORDAJA</t>
  </si>
  <si>
    <t>TEGEVUSKULUD</t>
  </si>
  <si>
    <t>Teenuste kulu kuus keskmisel ühiktarbimisel</t>
  </si>
  <si>
    <t>Teenuse kulukus (%)</t>
  </si>
  <si>
    <t>OMAKAPITALI KULUM</t>
  </si>
  <si>
    <t>VEEMAJANDUSE EBITDA</t>
  </si>
  <si>
    <t>VEEMAJANDUSE TULEMINÄITAJAD</t>
  </si>
  <si>
    <t>TEGEVUSKULUD (KULUMITA)</t>
  </si>
  <si>
    <t>Reovesi reoveepuhastitesse (m3)</t>
  </si>
  <si>
    <t>VEEMAJANDUSE EBIT (OMAKAP.KULUMi KATMINE)</t>
  </si>
  <si>
    <t>Masinate ja kütuse kulud</t>
  </si>
  <si>
    <t>Hooldus (sh.kaubad, toore sisseost), vesi</t>
  </si>
  <si>
    <t>Hooldus (sh.kaubad, toore, sisseost), kanal.</t>
  </si>
  <si>
    <t>Sihtfinantseeringutevälise põhivara kulum</t>
  </si>
  <si>
    <t>Põhjendatud tulukus varadelt (WACC väärtusel 6,28%)</t>
  </si>
  <si>
    <t>Põhivara jääkmaksumus põhjendatud tulususe arvestamiseks</t>
  </si>
  <si>
    <t>RAHAVOOG (EBITDA) ENNE LAENUTEENINDUST</t>
  </si>
  <si>
    <t>SISSETULEKUD: TEGEVUSTULUD</t>
  </si>
  <si>
    <t>VÄLJAMINEKUD: TEGEVUSKULUD</t>
  </si>
  <si>
    <t xml:space="preserve">VÄLJAMINEKUD: INVESTEERINGUD </t>
  </si>
  <si>
    <t>VÄLJAMINEKUD: FINANTSKOHUSTUSED</t>
  </si>
  <si>
    <r>
      <t>MÜÜGIMAHT TEENUSPIIRKONNAS (M</t>
    </r>
    <r>
      <rPr>
        <b/>
        <sz val="11"/>
        <color theme="1"/>
        <rFont val="Calibri"/>
        <family val="2"/>
        <charset val="186"/>
      </rPr>
      <t>³)</t>
    </r>
  </si>
  <si>
    <t>Veetoodang (m3)</t>
  </si>
  <si>
    <t>VEEMAJANDUSTEENUSTE TEGEVUSKULUD KOKKU</t>
  </si>
  <si>
    <t>Käibekapitaliosa (5%) põhjendatud tulususe arvestamiseks</t>
  </si>
  <si>
    <t>MUU VEETEENUSTE TULU</t>
  </si>
  <si>
    <t>VEETEENUSTE PÕHJENDATUD TULUD (KONKURENTSIAMETI METOD.)</t>
  </si>
  <si>
    <r>
      <t>TEENUSTASUD TEENUSPIIRKONDADES m</t>
    </r>
    <r>
      <rPr>
        <b/>
        <sz val="11"/>
        <color theme="1"/>
        <rFont val="Calibri"/>
        <family val="2"/>
        <charset val="186"/>
      </rPr>
      <t>³</t>
    </r>
    <r>
      <rPr>
        <b/>
        <sz val="11"/>
        <color theme="1"/>
        <rFont val="Calibri"/>
        <family val="2"/>
        <charset val="186"/>
        <scheme val="minor"/>
      </rPr>
      <t xml:space="preserve"> kohta käibemaksuta</t>
    </r>
  </si>
  <si>
    <t>PÕHJENDATUD TARIIFITULUD</t>
  </si>
  <si>
    <t>Elanike keskmine ühiktarbimine l/p/in</t>
  </si>
  <si>
    <t>SISSETULEKUD: INVESTEERINGULAENUDE VÕTMINE</t>
  </si>
  <si>
    <t>LAENUKATTEKORDAJA ARVESTUS</t>
  </si>
  <si>
    <t>Veeteenustesse arvestatavate kulu- ja põhjendatud tulususkomponentide summa</t>
  </si>
  <si>
    <t>TARIIFIDE TULU, PROGNOOSTULU KOKKU</t>
  </si>
  <si>
    <t>FINANTSKOHUSTUSTE KATMINE (INTRESSID)</t>
  </si>
  <si>
    <t>KUMULATIIVNE RAHAVOOG AL 2025</t>
  </si>
  <si>
    <t>FINANTSKOHUSTUSTE KATMINE (PÕHIOSAMAKSED)</t>
  </si>
  <si>
    <t>VEEMAJANDUSE RAHAVOOGUDE PROGNOOS ALATES 2025.A</t>
  </si>
  <si>
    <t>RAHAVOOG PROGNOOSAASTATE LÕIKES</t>
  </si>
  <si>
    <t>IT, administreerimis- ja kommunikatsiooniteenuste kulud</t>
  </si>
  <si>
    <t>Vesi</t>
  </si>
  <si>
    <t>Reovesi, I grupp</t>
  </si>
  <si>
    <t>Reovesi, II grupp</t>
  </si>
  <si>
    <t>Reovesi II grupp (Oskar LT)</t>
  </si>
  <si>
    <t>RAMSI VK VEEMAJANDUSE FINANTSPROGNOOS 2025-2037</t>
  </si>
  <si>
    <t>Reovesi I grupp</t>
  </si>
  <si>
    <t>Leibkonnaliikme keskmine sissetulek kuus (Viljandimaa)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</si>
</sst>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0000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0" fillId="2" borderId="0" xfId="0" applyFill="1"/>
    <xf numFmtId="1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4" fillId="2" borderId="0" xfId="0" applyFont="1" applyFill="1"/>
    <xf numFmtId="0" fontId="7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1" fillId="2" borderId="1" xfId="0" applyFont="1" applyFill="1" applyBorder="1"/>
    <xf numFmtId="165" fontId="11" fillId="2" borderId="1" xfId="1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0" fillId="0" borderId="0" xfId="0" applyNumberFormat="1"/>
    <xf numFmtId="0" fontId="13" fillId="2" borderId="0" xfId="0" applyFont="1" applyFill="1"/>
    <xf numFmtId="164" fontId="4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0" fontId="15" fillId="2" borderId="1" xfId="0" applyFont="1" applyFill="1" applyBorder="1"/>
    <xf numFmtId="0" fontId="7" fillId="2" borderId="1" xfId="0" applyFont="1" applyFill="1" applyBorder="1"/>
    <xf numFmtId="0" fontId="16" fillId="2" borderId="1" xfId="0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65" fontId="7" fillId="2" borderId="1" xfId="5" applyNumberFormat="1" applyFont="1" applyFill="1" applyBorder="1" applyAlignment="1">
      <alignment horizontal="center"/>
    </xf>
    <xf numFmtId="1" fontId="13" fillId="2" borderId="0" xfId="0" applyNumberFormat="1" applyFont="1" applyFill="1"/>
    <xf numFmtId="0" fontId="8" fillId="2" borderId="1" xfId="0" applyFont="1" applyFill="1" applyBorder="1"/>
    <xf numFmtId="1" fontId="8" fillId="2" borderId="1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4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8" fillId="2" borderId="2" xfId="0" applyFont="1" applyFill="1" applyBorder="1"/>
    <xf numFmtId="3" fontId="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7" fontId="0" fillId="2" borderId="0" xfId="0" applyNumberFormat="1" applyFill="1"/>
    <xf numFmtId="2" fontId="8" fillId="2" borderId="1" xfId="0" applyNumberFormat="1" applyFont="1" applyFill="1" applyBorder="1" applyAlignment="1">
      <alignment horizontal="center"/>
    </xf>
    <xf numFmtId="3" fontId="0" fillId="2" borderId="0" xfId="0" applyNumberFormat="1" applyFill="1"/>
  </cellXfs>
  <cellStyles count="7">
    <cellStyle name="Normaallaad 2" xfId="5" xr:uid="{A4D3E4B3-2970-43DE-B274-E5FAB0131943}"/>
    <cellStyle name="Normaallaad 4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  <cellStyle name="Protsent 2" xfId="6" xr:uid="{56187100-B403-47A7-B3B7-3149303A88C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5423-49AE-4E53-ABC3-0B14BA8FF529}">
  <dimension ref="A1:R90"/>
  <sheetViews>
    <sheetView tabSelected="1" topLeftCell="A27" zoomScale="91" zoomScaleNormal="91" workbookViewId="0">
      <selection activeCell="G122" sqref="G122"/>
    </sheetView>
  </sheetViews>
  <sheetFormatPr defaultRowHeight="14.5" x14ac:dyDescent="0.35"/>
  <cols>
    <col min="1" max="1" width="66" customWidth="1"/>
    <col min="2" max="2" width="11.36328125" customWidth="1"/>
    <col min="3" max="3" width="11.1796875" customWidth="1"/>
    <col min="4" max="4" width="11" customWidth="1"/>
    <col min="5" max="5" width="11.54296875" customWidth="1"/>
    <col min="6" max="6" width="10.6328125" customWidth="1"/>
    <col min="7" max="7" width="11.90625" customWidth="1"/>
    <col min="8" max="8" width="11.6328125" customWidth="1"/>
    <col min="9" max="9" width="11.1796875" customWidth="1"/>
    <col min="10" max="10" width="12.1796875" customWidth="1"/>
    <col min="11" max="11" width="12.54296875" customWidth="1"/>
    <col min="12" max="12" width="12.6328125" customWidth="1"/>
    <col min="13" max="13" width="12.36328125" customWidth="1"/>
    <col min="14" max="14" width="13" customWidth="1"/>
    <col min="15" max="15" width="12.6328125" customWidth="1"/>
    <col min="16" max="16" width="13" customWidth="1"/>
    <col min="17" max="17" width="11.1796875" customWidth="1"/>
    <col min="18" max="18" width="10.1796875" customWidth="1"/>
    <col min="19" max="19" width="11" customWidth="1"/>
  </cols>
  <sheetData>
    <row r="1" spans="1:18" x14ac:dyDescent="0.35">
      <c r="A1" s="30" t="s">
        <v>62</v>
      </c>
      <c r="B1" s="32">
        <v>2023</v>
      </c>
      <c r="C1" s="32">
        <f t="shared" ref="C1:P1" si="0">B1+1</f>
        <v>2024</v>
      </c>
      <c r="D1" s="32">
        <f t="shared" si="0"/>
        <v>2025</v>
      </c>
      <c r="E1" s="32">
        <f t="shared" si="0"/>
        <v>2026</v>
      </c>
      <c r="F1" s="32">
        <f t="shared" si="0"/>
        <v>2027</v>
      </c>
      <c r="G1" s="32">
        <f t="shared" si="0"/>
        <v>2028</v>
      </c>
      <c r="H1" s="32">
        <f t="shared" si="0"/>
        <v>2029</v>
      </c>
      <c r="I1" s="32">
        <f t="shared" si="0"/>
        <v>2030</v>
      </c>
      <c r="J1" s="32">
        <f t="shared" si="0"/>
        <v>2031</v>
      </c>
      <c r="K1" s="32">
        <f t="shared" si="0"/>
        <v>2032</v>
      </c>
      <c r="L1" s="32">
        <f t="shared" si="0"/>
        <v>2033</v>
      </c>
      <c r="M1" s="32">
        <f t="shared" si="0"/>
        <v>2034</v>
      </c>
      <c r="N1" s="32">
        <f t="shared" si="0"/>
        <v>2035</v>
      </c>
      <c r="O1" s="32">
        <f t="shared" si="0"/>
        <v>2036</v>
      </c>
      <c r="P1" s="32">
        <f t="shared" si="0"/>
        <v>2037</v>
      </c>
    </row>
    <row r="2" spans="1:18" ht="13.75" customHeight="1" x14ac:dyDescent="0.35">
      <c r="A2" s="19" t="s">
        <v>0</v>
      </c>
      <c r="B2" s="36">
        <v>9.1999999999999998E-2</v>
      </c>
      <c r="C2" s="36">
        <v>3.5000000000000003E-2</v>
      </c>
      <c r="D2" s="21">
        <v>5.1999999999999998E-2</v>
      </c>
      <c r="E2" s="21">
        <v>3.3000000000000002E-2</v>
      </c>
      <c r="F2" s="21">
        <v>2.4E-2</v>
      </c>
      <c r="G2" s="21">
        <v>2.1999999999999999E-2</v>
      </c>
      <c r="H2" s="21">
        <v>0.02</v>
      </c>
      <c r="I2" s="21">
        <v>0.02</v>
      </c>
      <c r="J2" s="21">
        <v>0.02</v>
      </c>
      <c r="K2" s="21">
        <v>0.02</v>
      </c>
      <c r="L2" s="21">
        <v>0.02</v>
      </c>
      <c r="M2" s="21">
        <v>0.02</v>
      </c>
      <c r="N2" s="21">
        <v>0.02</v>
      </c>
      <c r="O2" s="21">
        <v>0.02</v>
      </c>
      <c r="P2" s="21">
        <v>0.02</v>
      </c>
    </row>
    <row r="3" spans="1:18" ht="13.25" hidden="1" customHeight="1" x14ac:dyDescent="0.35">
      <c r="A3" s="19" t="s">
        <v>2</v>
      </c>
      <c r="B3" s="20">
        <f t="shared" ref="B3:P3" si="1">B2</f>
        <v>9.1999999999999998E-2</v>
      </c>
      <c r="C3" s="20">
        <f t="shared" si="1"/>
        <v>3.5000000000000003E-2</v>
      </c>
      <c r="D3" s="20">
        <f t="shared" si="1"/>
        <v>5.1999999999999998E-2</v>
      </c>
      <c r="E3" s="20">
        <f t="shared" si="1"/>
        <v>3.3000000000000002E-2</v>
      </c>
      <c r="F3" s="20">
        <f t="shared" si="1"/>
        <v>2.4E-2</v>
      </c>
      <c r="G3" s="20">
        <f t="shared" si="1"/>
        <v>2.1999999999999999E-2</v>
      </c>
      <c r="H3" s="20">
        <f t="shared" si="1"/>
        <v>0.02</v>
      </c>
      <c r="I3" s="20">
        <f t="shared" si="1"/>
        <v>0.02</v>
      </c>
      <c r="J3" s="20">
        <f t="shared" si="1"/>
        <v>0.02</v>
      </c>
      <c r="K3" s="20">
        <f t="shared" si="1"/>
        <v>0.02</v>
      </c>
      <c r="L3" s="20">
        <f t="shared" si="1"/>
        <v>0.02</v>
      </c>
      <c r="M3" s="20">
        <f t="shared" si="1"/>
        <v>0.02</v>
      </c>
      <c r="N3" s="20">
        <f t="shared" si="1"/>
        <v>0.02</v>
      </c>
      <c r="O3" s="20">
        <f t="shared" si="1"/>
        <v>0.02</v>
      </c>
      <c r="P3" s="20">
        <f t="shared" si="1"/>
        <v>0.02</v>
      </c>
    </row>
    <row r="4" spans="1:18" ht="6.65" customHeight="1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8" ht="3.65" customHeight="1" x14ac:dyDescent="0.35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4"/>
      <c r="M5" s="7"/>
      <c r="N5" s="7"/>
      <c r="O5" s="7"/>
    </row>
    <row r="6" spans="1:18" x14ac:dyDescent="0.35">
      <c r="A6" s="31" t="s">
        <v>13</v>
      </c>
      <c r="B6" s="27">
        <f>B14/B11</f>
        <v>0.2655499667489622</v>
      </c>
      <c r="C6" s="27">
        <f>C14/C11</f>
        <v>0.20454383287627495</v>
      </c>
      <c r="D6" s="27">
        <f>C6</f>
        <v>0.20454383287627495</v>
      </c>
      <c r="E6" s="27">
        <f t="shared" ref="E6:P6" si="2">D6*(1+E2)</f>
        <v>0.21129377936119201</v>
      </c>
      <c r="F6" s="27">
        <f t="shared" si="2"/>
        <v>0.21636483006586063</v>
      </c>
      <c r="G6" s="27">
        <f t="shared" si="2"/>
        <v>0.22112485632730958</v>
      </c>
      <c r="H6" s="27">
        <f t="shared" si="2"/>
        <v>0.22554735345385576</v>
      </c>
      <c r="I6" s="27">
        <f t="shared" si="2"/>
        <v>0.23005830052293288</v>
      </c>
      <c r="J6" s="27">
        <f t="shared" si="2"/>
        <v>0.23465946653339154</v>
      </c>
      <c r="K6" s="27">
        <f t="shared" si="2"/>
        <v>0.23935265586405938</v>
      </c>
      <c r="L6" s="27">
        <f t="shared" si="2"/>
        <v>0.24413970898134058</v>
      </c>
      <c r="M6" s="27">
        <f t="shared" si="2"/>
        <v>0.24902250316096738</v>
      </c>
      <c r="N6" s="27">
        <f t="shared" si="2"/>
        <v>0.25400295322418676</v>
      </c>
      <c r="O6" s="27">
        <f t="shared" si="2"/>
        <v>0.25908301228867048</v>
      </c>
      <c r="P6" s="27">
        <f t="shared" si="2"/>
        <v>0.26426467253444391</v>
      </c>
    </row>
    <row r="7" spans="1:18" x14ac:dyDescent="0.35">
      <c r="A7" s="31" t="s">
        <v>12</v>
      </c>
      <c r="B7" s="27">
        <f>B15/B12</f>
        <v>0.47966389708292356</v>
      </c>
      <c r="C7" s="27">
        <f>C15/C12</f>
        <v>0.36687759511582424</v>
      </c>
      <c r="D7" s="27">
        <f>C7</f>
        <v>0.36687759511582424</v>
      </c>
      <c r="E7" s="27">
        <f t="shared" ref="E7:P7" si="3">D7*(1+E2)</f>
        <v>0.3789845557546464</v>
      </c>
      <c r="F7" s="27">
        <f t="shared" si="3"/>
        <v>0.38808018509275793</v>
      </c>
      <c r="G7" s="27">
        <f t="shared" si="3"/>
        <v>0.39661794916479859</v>
      </c>
      <c r="H7" s="27">
        <f t="shared" si="3"/>
        <v>0.40455030814809456</v>
      </c>
      <c r="I7" s="27">
        <f t="shared" si="3"/>
        <v>0.41264131431105644</v>
      </c>
      <c r="J7" s="27">
        <f t="shared" si="3"/>
        <v>0.42089414059727759</v>
      </c>
      <c r="K7" s="27">
        <f t="shared" si="3"/>
        <v>0.42931202340922314</v>
      </c>
      <c r="L7" s="27">
        <f t="shared" si="3"/>
        <v>0.4378982638774076</v>
      </c>
      <c r="M7" s="27">
        <f t="shared" si="3"/>
        <v>0.44665622915495579</v>
      </c>
      <c r="N7" s="27">
        <f t="shared" si="3"/>
        <v>0.45558935373805493</v>
      </c>
      <c r="O7" s="27">
        <f t="shared" si="3"/>
        <v>0.46470114081281605</v>
      </c>
      <c r="P7" s="27">
        <f t="shared" si="3"/>
        <v>0.4739951636290724</v>
      </c>
    </row>
    <row r="8" spans="1:18" x14ac:dyDescent="0.35">
      <c r="A8" s="1" t="s">
        <v>1</v>
      </c>
      <c r="B8" s="27">
        <f>B16/B11</f>
        <v>8.0442316767085451E-2</v>
      </c>
      <c r="C8" s="27">
        <f>C16/C11</f>
        <v>8.1108319361970729E-2</v>
      </c>
      <c r="D8" s="27">
        <f t="shared" ref="D8" si="4">C8*(1+D2)</f>
        <v>8.5325951968793209E-2</v>
      </c>
      <c r="E8" s="2">
        <f t="shared" ref="E8" si="5">D8*(1+E2)</f>
        <v>8.8141708383763381E-2</v>
      </c>
      <c r="F8" s="2">
        <f t="shared" ref="F8" si="6">E8*(1+F2)</f>
        <v>9.0257109384973708E-2</v>
      </c>
      <c r="G8" s="2">
        <f t="shared" ref="G8" si="7">F8*(1+G2)</f>
        <v>9.2242765791443138E-2</v>
      </c>
      <c r="H8" s="2">
        <f t="shared" ref="H8" si="8">G8*(1+H2)</f>
        <v>9.4087621107272007E-2</v>
      </c>
      <c r="I8" s="2">
        <f t="shared" ref="I8:P8" si="9">H8*(1+I2)</f>
        <v>9.5969373529417451E-2</v>
      </c>
      <c r="J8" s="2">
        <f t="shared" si="9"/>
        <v>9.7888761000005806E-2</v>
      </c>
      <c r="K8" s="2">
        <f t="shared" si="9"/>
        <v>9.984653622000593E-2</v>
      </c>
      <c r="L8" s="2">
        <f t="shared" si="9"/>
        <v>0.10184346694440605</v>
      </c>
      <c r="M8" s="2">
        <f t="shared" si="9"/>
        <v>0.10388033628329417</v>
      </c>
      <c r="N8" s="2">
        <f t="shared" si="9"/>
        <v>0.10595794300896005</v>
      </c>
      <c r="O8" s="2">
        <f t="shared" si="9"/>
        <v>0.10807710186913926</v>
      </c>
      <c r="P8" s="2">
        <f t="shared" si="9"/>
        <v>0.11023864390652205</v>
      </c>
    </row>
    <row r="9" spans="1:18" x14ac:dyDescent="0.35">
      <c r="A9" s="1" t="s">
        <v>7</v>
      </c>
      <c r="B9" s="27">
        <f>B17/B12</f>
        <v>4.362053425106522E-2</v>
      </c>
      <c r="C9" s="27">
        <f>C17/C12</f>
        <v>3.9669777572857216E-2</v>
      </c>
      <c r="D9" s="27">
        <f t="shared" ref="D9:E9" si="10">C9*1.106</f>
        <v>4.3874773995580083E-2</v>
      </c>
      <c r="E9" s="2">
        <f t="shared" si="10"/>
        <v>4.8525500039111574E-2</v>
      </c>
      <c r="F9" s="2">
        <f>E9*1.106</f>
        <v>5.3669203043257403E-2</v>
      </c>
      <c r="G9" s="2">
        <f t="shared" ref="G9:P9" si="11">F9*(1+G2)</f>
        <v>5.484992551020907E-2</v>
      </c>
      <c r="H9" s="2">
        <f t="shared" si="11"/>
        <v>5.594692402041325E-2</v>
      </c>
      <c r="I9" s="2">
        <f t="shared" si="11"/>
        <v>5.7065862500821518E-2</v>
      </c>
      <c r="J9" s="2">
        <f t="shared" si="11"/>
        <v>5.8207179750837952E-2</v>
      </c>
      <c r="K9" s="2">
        <f t="shared" si="11"/>
        <v>5.937132334585471E-2</v>
      </c>
      <c r="L9" s="2">
        <f t="shared" si="11"/>
        <v>6.0558749812771803E-2</v>
      </c>
      <c r="M9" s="2">
        <f t="shared" si="11"/>
        <v>6.1769924809027238E-2</v>
      </c>
      <c r="N9" s="2">
        <f t="shared" si="11"/>
        <v>6.3005323305207778E-2</v>
      </c>
      <c r="O9" s="2">
        <f t="shared" si="11"/>
        <v>6.426542977131193E-2</v>
      </c>
      <c r="P9" s="2">
        <f t="shared" si="11"/>
        <v>6.5550738366738165E-2</v>
      </c>
    </row>
    <row r="10" spans="1:18" x14ac:dyDescent="0.35">
      <c r="A10" s="44" t="s">
        <v>3</v>
      </c>
      <c r="B10" s="24"/>
      <c r="C10" s="12"/>
      <c r="D10" s="12"/>
      <c r="E10" s="4"/>
      <c r="F10" s="4"/>
      <c r="G10" s="4"/>
      <c r="H10" s="4"/>
      <c r="I10" s="4"/>
      <c r="J10" s="4"/>
      <c r="K10" s="4"/>
      <c r="L10" s="4"/>
      <c r="M10" s="7"/>
      <c r="N10" s="7"/>
      <c r="O10" s="7"/>
      <c r="R10" s="23"/>
    </row>
    <row r="11" spans="1:18" x14ac:dyDescent="0.35">
      <c r="A11" s="31" t="s">
        <v>40</v>
      </c>
      <c r="B11" s="39">
        <v>159629.91266375544</v>
      </c>
      <c r="C11" s="39">
        <v>163386.44548728582</v>
      </c>
      <c r="D11" s="8">
        <v>163201.87775333499</v>
      </c>
      <c r="E11" s="8">
        <v>162570.41775988261</v>
      </c>
      <c r="F11" s="8">
        <v>161936.42827931402</v>
      </c>
      <c r="G11" s="8">
        <v>161296.27469804807</v>
      </c>
      <c r="H11" s="8">
        <v>160671.68711017273</v>
      </c>
      <c r="I11" s="8">
        <v>160088.1942181084</v>
      </c>
      <c r="J11" s="8">
        <v>159516.834146218</v>
      </c>
      <c r="K11" s="8">
        <v>158990.55655455045</v>
      </c>
      <c r="L11" s="8">
        <v>158480.27556319741</v>
      </c>
      <c r="M11" s="8">
        <v>157982.39711422045</v>
      </c>
      <c r="N11" s="8">
        <v>157511.71172715476</v>
      </c>
      <c r="O11" s="8">
        <v>157049.89798849856</v>
      </c>
      <c r="P11" s="8">
        <v>156589.5980455947</v>
      </c>
      <c r="Q11" s="23"/>
      <c r="R11" s="23"/>
    </row>
    <row r="12" spans="1:18" x14ac:dyDescent="0.35">
      <c r="A12" s="31" t="s">
        <v>26</v>
      </c>
      <c r="B12" s="39">
        <v>122040</v>
      </c>
      <c r="C12" s="39">
        <v>125794</v>
      </c>
      <c r="D12" s="8">
        <v>125853.61552806347</v>
      </c>
      <c r="E12" s="8">
        <v>125529.59787635937</v>
      </c>
      <c r="F12" s="8">
        <v>125202.96687077329</v>
      </c>
      <c r="G12" s="8">
        <v>124871.11556741309</v>
      </c>
      <c r="H12" s="8">
        <v>124549.6054697731</v>
      </c>
      <c r="I12" s="8">
        <v>124256.7744573422</v>
      </c>
      <c r="J12" s="8">
        <v>123971.88582598811</v>
      </c>
      <c r="K12" s="8">
        <v>123718.64810417112</v>
      </c>
      <c r="L12" s="8">
        <v>123476.19647204663</v>
      </c>
      <c r="M12" s="8">
        <v>123241.96588601352</v>
      </c>
      <c r="N12" s="8">
        <v>123026.64454423472</v>
      </c>
      <c r="O12" s="8">
        <v>122817.04446315984</v>
      </c>
      <c r="P12" s="8">
        <v>122607.86019107467</v>
      </c>
    </row>
    <row r="13" spans="1:18" x14ac:dyDescent="0.35">
      <c r="A13" s="3" t="s">
        <v>4</v>
      </c>
      <c r="B13" s="37"/>
      <c r="C13" s="12"/>
      <c r="D13" s="12"/>
      <c r="E13" s="4"/>
      <c r="F13" s="4"/>
      <c r="G13" s="4"/>
      <c r="H13" s="4"/>
      <c r="I13" s="4"/>
      <c r="J13" s="4"/>
      <c r="K13" s="4"/>
      <c r="L13" s="4"/>
      <c r="M13" s="7"/>
      <c r="N13" s="7"/>
      <c r="O13" s="7"/>
    </row>
    <row r="14" spans="1:18" x14ac:dyDescent="0.35">
      <c r="A14" s="31" t="s">
        <v>13</v>
      </c>
      <c r="B14" s="39">
        <f>0.42*100927.9</f>
        <v>42389.717999999993</v>
      </c>
      <c r="C14" s="39">
        <f>0.42*79570.69</f>
        <v>33419.6898</v>
      </c>
      <c r="D14" s="8">
        <f t="shared" ref="D14" si="12">D6*D11</f>
        <v>33381.937608272405</v>
      </c>
      <c r="E14" s="8">
        <f t="shared" ref="E14:N14" si="13">E6*E11</f>
        <v>34350.117980813448</v>
      </c>
      <c r="F14" s="8">
        <f t="shared" si="13"/>
        <v>35037.347786126207</v>
      </c>
      <c r="G14" s="8">
        <f t="shared" si="13"/>
        <v>35666.615568736139</v>
      </c>
      <c r="H14" s="8">
        <f t="shared" si="13"/>
        <v>36239.073802665451</v>
      </c>
      <c r="I14" s="8">
        <f t="shared" si="13"/>
        <v>36829.617895603231</v>
      </c>
      <c r="J14" s="8">
        <f t="shared" si="13"/>
        <v>37432.135203847007</v>
      </c>
      <c r="K14" s="8">
        <f t="shared" si="13"/>
        <v>38054.811968636583</v>
      </c>
      <c r="L14" s="8">
        <f t="shared" si="13"/>
        <v>38691.328355281679</v>
      </c>
      <c r="M14" s="8">
        <f t="shared" si="13"/>
        <v>39341.171984753164</v>
      </c>
      <c r="N14" s="8">
        <f t="shared" si="13"/>
        <v>40008.439946094077</v>
      </c>
      <c r="O14" s="8">
        <f t="shared" ref="O14" si="14">O6*O11</f>
        <v>40688.960650488618</v>
      </c>
      <c r="P14" s="8">
        <f t="shared" ref="P14" si="15">P6*P11</f>
        <v>41381.098849819282</v>
      </c>
    </row>
    <row r="15" spans="1:18" x14ac:dyDescent="0.35">
      <c r="A15" s="31" t="s">
        <v>12</v>
      </c>
      <c r="B15" s="39">
        <f>0.58*100927.9</f>
        <v>58538.181999999993</v>
      </c>
      <c r="C15" s="39">
        <f>0.58*79570.69</f>
        <v>46151.000199999995</v>
      </c>
      <c r="D15" s="8">
        <f t="shared" ref="D15" si="16">D7*D12</f>
        <v>46172.871801567482</v>
      </c>
      <c r="E15" s="8">
        <f t="shared" ref="E15:N15" si="17">E7*E12</f>
        <v>47573.778885231462</v>
      </c>
      <c r="F15" s="8">
        <f t="shared" si="17"/>
        <v>48588.790557372136</v>
      </c>
      <c r="G15" s="8">
        <f t="shared" si="17"/>
        <v>49526.125766267935</v>
      </c>
      <c r="H15" s="8">
        <f t="shared" si="17"/>
        <v>50386.581272520314</v>
      </c>
      <c r="I15" s="8">
        <f t="shared" si="17"/>
        <v>51273.478724130189</v>
      </c>
      <c r="J15" s="8">
        <f t="shared" si="17"/>
        <v>52179.040342953085</v>
      </c>
      <c r="K15" s="8">
        <f t="shared" si="17"/>
        <v>53113.903151055354</v>
      </c>
      <c r="L15" s="8">
        <f t="shared" si="17"/>
        <v>54070.012065294904</v>
      </c>
      <c r="M15" s="8">
        <f t="shared" si="17"/>
        <v>55046.791756290499</v>
      </c>
      <c r="N15" s="8">
        <f t="shared" si="17"/>
        <v>56049.629480469295</v>
      </c>
      <c r="O15" s="8">
        <f t="shared" ref="O15" si="18">O7*O12</f>
        <v>57073.220673288728</v>
      </c>
      <c r="P15" s="8">
        <f t="shared" ref="P15" si="19">P7*P12</f>
        <v>58115.532753478867</v>
      </c>
      <c r="R15" s="15"/>
    </row>
    <row r="16" spans="1:18" x14ac:dyDescent="0.35">
      <c r="A16" s="1" t="s">
        <v>1</v>
      </c>
      <c r="B16" s="39">
        <v>12841</v>
      </c>
      <c r="C16" s="39">
        <v>13252</v>
      </c>
      <c r="D16" s="8">
        <f t="shared" ref="D16:N16" si="20">D11*D8</f>
        <v>13925.355582397922</v>
      </c>
      <c r="E16" s="14">
        <f t="shared" si="20"/>
        <v>14329.234354018159</v>
      </c>
      <c r="F16" s="14">
        <f t="shared" si="20"/>
        <v>14615.913920617995</v>
      </c>
      <c r="G16" s="14">
        <f t="shared" si="20"/>
        <v>14878.414490004325</v>
      </c>
      <c r="H16" s="14">
        <f t="shared" si="20"/>
        <v>15117.216819488091</v>
      </c>
      <c r="I16" s="14">
        <f t="shared" si="20"/>
        <v>15363.563708567572</v>
      </c>
      <c r="J16" s="14">
        <f t="shared" si="20"/>
        <v>15614.905253216699</v>
      </c>
      <c r="K16" s="14">
        <f t="shared" si="20"/>
        <v>15874.656363662823</v>
      </c>
      <c r="L16" s="14">
        <f t="shared" si="20"/>
        <v>16140.180705660858</v>
      </c>
      <c r="M16" s="14">
        <f t="shared" si="20"/>
        <v>16411.264539066142</v>
      </c>
      <c r="N16" s="14">
        <f t="shared" si="20"/>
        <v>16689.616974429609</v>
      </c>
      <c r="O16" s="14">
        <f t="shared" ref="O16" si="21">O11*O8</f>
        <v>16973.497823440888</v>
      </c>
      <c r="P16" s="14">
        <f t="shared" ref="P16" si="22">P11*P8</f>
        <v>17262.224938413736</v>
      </c>
    </row>
    <row r="17" spans="1:18" x14ac:dyDescent="0.35">
      <c r="A17" s="1" t="s">
        <v>7</v>
      </c>
      <c r="B17" s="39">
        <v>5323.45</v>
      </c>
      <c r="C17" s="39">
        <v>4990.22</v>
      </c>
      <c r="D17" s="8">
        <f t="shared" ref="D17:N17" si="23">D9*D12</f>
        <v>5521.7989378204129</v>
      </c>
      <c r="E17" s="14">
        <f t="shared" si="23"/>
        <v>6091.3865066589369</v>
      </c>
      <c r="F17" s="14">
        <f t="shared" si="23"/>
        <v>6719.5434506057618</v>
      </c>
      <c r="G17" s="14">
        <f t="shared" si="23"/>
        <v>6849.1713872493156</v>
      </c>
      <c r="H17" s="14">
        <f t="shared" si="23"/>
        <v>6968.1673139898421</v>
      </c>
      <c r="I17" s="14">
        <f t="shared" si="23"/>
        <v>7090.8200059782812</v>
      </c>
      <c r="J17" s="14">
        <f t="shared" si="23"/>
        <v>7216.0538423236494</v>
      </c>
      <c r="K17" s="14">
        <f t="shared" si="23"/>
        <v>7345.3398605047587</v>
      </c>
      <c r="L17" s="14">
        <f t="shared" si="23"/>
        <v>7477.5640899833288</v>
      </c>
      <c r="M17" s="14">
        <f t="shared" si="23"/>
        <v>7612.6469660957555</v>
      </c>
      <c r="N17" s="14">
        <f t="shared" si="23"/>
        <v>7751.3335146643849</v>
      </c>
      <c r="O17" s="14">
        <f t="shared" ref="O17" si="24">O9*O12</f>
        <v>7892.8901456672929</v>
      </c>
      <c r="P17" s="14">
        <f t="shared" ref="P17" si="25">P9*P12</f>
        <v>8037.0357650907472</v>
      </c>
    </row>
    <row r="18" spans="1:18" x14ac:dyDescent="0.35">
      <c r="A18" s="3" t="s">
        <v>5</v>
      </c>
      <c r="B18" s="2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7"/>
    </row>
    <row r="19" spans="1:18" x14ac:dyDescent="0.35">
      <c r="A19" s="1" t="s">
        <v>6</v>
      </c>
      <c r="B19" s="39">
        <v>246300.9</v>
      </c>
      <c r="C19" s="39">
        <v>255093.4</v>
      </c>
      <c r="D19" s="14">
        <f t="shared" ref="D19:P19" si="26">C19*(1+D3)</f>
        <v>268358.25680000003</v>
      </c>
      <c r="E19" s="14">
        <f t="shared" si="26"/>
        <v>277214.07927440002</v>
      </c>
      <c r="F19" s="14">
        <f t="shared" si="26"/>
        <v>283867.21717698564</v>
      </c>
      <c r="G19" s="14">
        <f t="shared" si="26"/>
        <v>290112.29595487932</v>
      </c>
      <c r="H19" s="14">
        <f t="shared" si="26"/>
        <v>295914.54187397688</v>
      </c>
      <c r="I19" s="14">
        <f t="shared" si="26"/>
        <v>301832.8327114564</v>
      </c>
      <c r="J19" s="14">
        <f t="shared" si="26"/>
        <v>307869.48936568556</v>
      </c>
      <c r="K19" s="14">
        <f t="shared" si="26"/>
        <v>314026.87915299926</v>
      </c>
      <c r="L19" s="14">
        <f t="shared" si="26"/>
        <v>320307.41673605924</v>
      </c>
      <c r="M19" s="14">
        <f t="shared" si="26"/>
        <v>326713.5650707804</v>
      </c>
      <c r="N19" s="14">
        <f>M19*(1+N3)</f>
        <v>333247.83637219603</v>
      </c>
      <c r="O19" s="14">
        <f>N19*(1+O3)</f>
        <v>339912.79309963994</v>
      </c>
      <c r="P19" s="14">
        <f t="shared" si="26"/>
        <v>346711.04896163277</v>
      </c>
    </row>
    <row r="20" spans="1:18" x14ac:dyDescent="0.35">
      <c r="A20" s="1" t="s">
        <v>29</v>
      </c>
      <c r="B20" s="39">
        <f>62864.79*0.42</f>
        <v>26403.211800000001</v>
      </c>
      <c r="C20" s="39">
        <f>64037.6*0.42</f>
        <v>26895.791999999998</v>
      </c>
      <c r="D20" s="14">
        <f t="shared" ref="D20:N20" si="27">C20*(1+D2)</f>
        <v>28294.373184</v>
      </c>
      <c r="E20" s="14">
        <f t="shared" si="27"/>
        <v>29228.087499071997</v>
      </c>
      <c r="F20" s="14">
        <f t="shared" si="27"/>
        <v>29929.561599049724</v>
      </c>
      <c r="G20" s="14">
        <f t="shared" si="27"/>
        <v>30588.011954228819</v>
      </c>
      <c r="H20" s="14">
        <f t="shared" si="27"/>
        <v>31199.772193313398</v>
      </c>
      <c r="I20" s="14">
        <f t="shared" si="27"/>
        <v>31823.767637179666</v>
      </c>
      <c r="J20" s="14">
        <f t="shared" si="27"/>
        <v>32460.242989923259</v>
      </c>
      <c r="K20" s="14">
        <f t="shared" si="27"/>
        <v>33109.447849721728</v>
      </c>
      <c r="L20" s="14">
        <f t="shared" si="27"/>
        <v>33771.63680671616</v>
      </c>
      <c r="M20" s="14">
        <f t="shared" si="27"/>
        <v>34447.069542850484</v>
      </c>
      <c r="N20" s="14">
        <f t="shared" si="27"/>
        <v>35136.010933707497</v>
      </c>
      <c r="O20" s="14">
        <f>N20*(1+O2)</f>
        <v>35838.731152381646</v>
      </c>
      <c r="P20" s="14">
        <f>O20*(1+P2)</f>
        <v>36555.505775429279</v>
      </c>
    </row>
    <row r="21" spans="1:18" x14ac:dyDescent="0.35">
      <c r="A21" s="1" t="s">
        <v>30</v>
      </c>
      <c r="B21" s="39">
        <f>62864.79*0.58</f>
        <v>36461.578199999996</v>
      </c>
      <c r="C21" s="39">
        <f>64037.6*0.58</f>
        <v>37141.807999999997</v>
      </c>
      <c r="D21" s="14">
        <f>C21*(1+D2)</f>
        <v>39073.182015999999</v>
      </c>
      <c r="E21" s="14">
        <f>D21*(1+E2)</f>
        <v>40362.597022527996</v>
      </c>
      <c r="F21" s="14">
        <f>E21*(1+F2)</f>
        <v>41331.299351068672</v>
      </c>
      <c r="G21" s="14">
        <f>F21*(1+G2)</f>
        <v>42240.587936792181</v>
      </c>
      <c r="H21" s="14">
        <f>G21*(1+H3)</f>
        <v>43085.399695528024</v>
      </c>
      <c r="I21" s="14">
        <f t="shared" ref="I21:P21" si="28">H21*(1+I2)</f>
        <v>43947.107689438584</v>
      </c>
      <c r="J21" s="14">
        <f t="shared" si="28"/>
        <v>44826.04984322736</v>
      </c>
      <c r="K21" s="14">
        <f t="shared" si="28"/>
        <v>45722.57084009191</v>
      </c>
      <c r="L21" s="14">
        <f t="shared" si="28"/>
        <v>46637.022256893746</v>
      </c>
      <c r="M21" s="14">
        <f t="shared" si="28"/>
        <v>47569.762702031621</v>
      </c>
      <c r="N21" s="14">
        <f>M21*(1+N2)</f>
        <v>48521.157956072253</v>
      </c>
      <c r="O21" s="14">
        <f>N21*(1+O2)</f>
        <v>49491.581115193701</v>
      </c>
      <c r="P21" s="14">
        <f t="shared" si="28"/>
        <v>50481.41273749758</v>
      </c>
    </row>
    <row r="22" spans="1:18" x14ac:dyDescent="0.35">
      <c r="A22" s="1" t="s">
        <v>57</v>
      </c>
      <c r="B22" s="39">
        <v>15685.77</v>
      </c>
      <c r="C22" s="39">
        <v>12193.07</v>
      </c>
      <c r="D22" s="14">
        <f t="shared" ref="D22:P22" si="29">C22*(1+D2)</f>
        <v>12827.109640000001</v>
      </c>
      <c r="E22" s="14">
        <f t="shared" si="29"/>
        <v>13250.404258119999</v>
      </c>
      <c r="F22" s="14">
        <f t="shared" si="29"/>
        <v>13568.41396031488</v>
      </c>
      <c r="G22" s="14">
        <f t="shared" si="29"/>
        <v>13866.919067441808</v>
      </c>
      <c r="H22" s="14">
        <f t="shared" si="29"/>
        <v>14144.257448790644</v>
      </c>
      <c r="I22" s="14">
        <f t="shared" si="29"/>
        <v>14427.142597766457</v>
      </c>
      <c r="J22" s="14">
        <f t="shared" si="29"/>
        <v>14715.685449721786</v>
      </c>
      <c r="K22" s="14">
        <f t="shared" si="29"/>
        <v>15009.999158716222</v>
      </c>
      <c r="L22" s="14">
        <f t="shared" si="29"/>
        <v>15310.199141890547</v>
      </c>
      <c r="M22" s="14">
        <f t="shared" si="29"/>
        <v>15616.403124728358</v>
      </c>
      <c r="N22" s="14">
        <f t="shared" si="29"/>
        <v>15928.731187222926</v>
      </c>
      <c r="O22" s="14">
        <f t="shared" si="29"/>
        <v>16247.305810967384</v>
      </c>
      <c r="P22" s="14">
        <f t="shared" si="29"/>
        <v>16572.251927186731</v>
      </c>
    </row>
    <row r="23" spans="1:18" x14ac:dyDescent="0.35">
      <c r="A23" s="1" t="s">
        <v>28</v>
      </c>
      <c r="B23" s="39">
        <v>36940.720000000001</v>
      </c>
      <c r="C23" s="39">
        <v>63517.49</v>
      </c>
      <c r="D23" s="14">
        <f t="shared" ref="D23:P23" si="30">C23*(1+D2)</f>
        <v>66820.399480000007</v>
      </c>
      <c r="E23" s="14">
        <f t="shared" si="30"/>
        <v>69025.472662839995</v>
      </c>
      <c r="F23" s="14">
        <f t="shared" si="30"/>
        <v>70682.084006748162</v>
      </c>
      <c r="G23" s="14">
        <f t="shared" si="30"/>
        <v>72237.089854896622</v>
      </c>
      <c r="H23" s="14">
        <f t="shared" si="30"/>
        <v>73681.831651994551</v>
      </c>
      <c r="I23" s="14">
        <f t="shared" si="30"/>
        <v>75155.46828503444</v>
      </c>
      <c r="J23" s="14">
        <f t="shared" si="30"/>
        <v>76658.577650735126</v>
      </c>
      <c r="K23" s="14">
        <f t="shared" si="30"/>
        <v>78191.74920374983</v>
      </c>
      <c r="L23" s="14">
        <f t="shared" si="30"/>
        <v>79755.584187824832</v>
      </c>
      <c r="M23" s="14">
        <f t="shared" si="30"/>
        <v>81350.695871581323</v>
      </c>
      <c r="N23" s="14">
        <f t="shared" si="30"/>
        <v>82977.709789012952</v>
      </c>
      <c r="O23" s="14">
        <f t="shared" si="30"/>
        <v>84637.263984793215</v>
      </c>
      <c r="P23" s="14">
        <f t="shared" si="30"/>
        <v>86330.009264489083</v>
      </c>
    </row>
    <row r="24" spans="1:18" x14ac:dyDescent="0.35">
      <c r="A24" s="31" t="s">
        <v>14</v>
      </c>
      <c r="B24" s="39">
        <v>10783.83</v>
      </c>
      <c r="C24" s="39">
        <v>5888.06</v>
      </c>
      <c r="D24" s="8">
        <f t="shared" ref="D24:P24" si="31">C24*(1+D2)</f>
        <v>6194.2391200000011</v>
      </c>
      <c r="E24" s="8">
        <f t="shared" si="31"/>
        <v>6398.6490109600009</v>
      </c>
      <c r="F24" s="8">
        <f t="shared" si="31"/>
        <v>6552.2165872230407</v>
      </c>
      <c r="G24" s="8">
        <f t="shared" si="31"/>
        <v>6696.3653521419474</v>
      </c>
      <c r="H24" s="8">
        <f t="shared" si="31"/>
        <v>6830.2926591847863</v>
      </c>
      <c r="I24" s="8">
        <f t="shared" si="31"/>
        <v>6966.8985123684824</v>
      </c>
      <c r="J24" s="8">
        <f t="shared" si="31"/>
        <v>7106.2364826158519</v>
      </c>
      <c r="K24" s="8">
        <f t="shared" si="31"/>
        <v>7248.3612122681689</v>
      </c>
      <c r="L24" s="8">
        <f t="shared" si="31"/>
        <v>7393.3284365135323</v>
      </c>
      <c r="M24" s="8">
        <f t="shared" si="31"/>
        <v>7541.1950052438033</v>
      </c>
      <c r="N24" s="8">
        <f t="shared" si="31"/>
        <v>7692.0189053486793</v>
      </c>
      <c r="O24" s="8">
        <f t="shared" si="31"/>
        <v>7845.859283455653</v>
      </c>
      <c r="P24" s="8">
        <f t="shared" si="31"/>
        <v>8002.7764691247658</v>
      </c>
    </row>
    <row r="25" spans="1:18" ht="8.25" customHeight="1" x14ac:dyDescent="0.35">
      <c r="A25" s="6"/>
      <c r="B25" s="24"/>
      <c r="C25" s="4"/>
      <c r="D25" s="4"/>
      <c r="E25" s="4"/>
      <c r="F25" s="4"/>
      <c r="G25" s="4"/>
      <c r="H25" s="4"/>
      <c r="I25" s="4"/>
      <c r="J25" s="4"/>
      <c r="K25" s="4"/>
      <c r="L25" s="4"/>
      <c r="M25" s="7"/>
      <c r="N25" s="7"/>
      <c r="O25" s="7"/>
      <c r="P25" s="7"/>
    </row>
    <row r="26" spans="1:18" x14ac:dyDescent="0.35">
      <c r="A26" s="38" t="s">
        <v>41</v>
      </c>
      <c r="B26" s="39">
        <f t="shared" ref="B26:P26" si="32">SUM(B14:B17)+SUM(B19:B24)</f>
        <v>491668.36000000004</v>
      </c>
      <c r="C26" s="39">
        <f t="shared" si="32"/>
        <v>498542.53</v>
      </c>
      <c r="D26" s="39">
        <f t="shared" si="32"/>
        <v>520569.52417005826</v>
      </c>
      <c r="E26" s="39">
        <f t="shared" si="32"/>
        <v>537823.80745464202</v>
      </c>
      <c r="F26" s="39">
        <f t="shared" si="32"/>
        <v>550892.38839611225</v>
      </c>
      <c r="G26" s="39">
        <f t="shared" si="32"/>
        <v>562661.59733263846</v>
      </c>
      <c r="H26" s="39">
        <f t="shared" si="32"/>
        <v>573567.13473145198</v>
      </c>
      <c r="I26" s="39">
        <f t="shared" si="32"/>
        <v>584710.69776752335</v>
      </c>
      <c r="J26" s="39">
        <f t="shared" si="32"/>
        <v>596078.41642424942</v>
      </c>
      <c r="K26" s="39">
        <f t="shared" si="32"/>
        <v>607697.71876140661</v>
      </c>
      <c r="L26" s="39">
        <f t="shared" si="32"/>
        <v>619554.27278211876</v>
      </c>
      <c r="M26" s="39">
        <f t="shared" si="32"/>
        <v>631650.56656342163</v>
      </c>
      <c r="N26" s="39">
        <f t="shared" si="32"/>
        <v>644002.48505921778</v>
      </c>
      <c r="O26" s="39">
        <f t="shared" si="32"/>
        <v>656602.10373931704</v>
      </c>
      <c r="P26" s="39">
        <f t="shared" si="32"/>
        <v>669448.89744216285</v>
      </c>
      <c r="R26" s="15"/>
    </row>
    <row r="27" spans="1:18" x14ac:dyDescent="0.35">
      <c r="A27" s="7"/>
      <c r="B27" s="48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8" x14ac:dyDescent="0.35">
      <c r="A28" s="38" t="s">
        <v>31</v>
      </c>
      <c r="B28" s="8">
        <v>86285</v>
      </c>
      <c r="C28" s="8">
        <v>86465</v>
      </c>
      <c r="D28" s="8">
        <v>86465</v>
      </c>
      <c r="E28" s="8">
        <v>100215</v>
      </c>
      <c r="F28" s="8">
        <v>113965</v>
      </c>
      <c r="G28" s="8">
        <v>127715</v>
      </c>
      <c r="H28" s="8">
        <v>141465</v>
      </c>
      <c r="I28" s="8">
        <v>155215</v>
      </c>
      <c r="J28" s="8">
        <v>168965</v>
      </c>
      <c r="K28" s="8">
        <v>182715</v>
      </c>
      <c r="L28" s="8">
        <v>196465</v>
      </c>
      <c r="M28" s="8">
        <v>210215</v>
      </c>
      <c r="N28" s="8">
        <v>223965</v>
      </c>
      <c r="O28" s="8">
        <v>237715</v>
      </c>
      <c r="P28" s="8">
        <v>251465</v>
      </c>
    </row>
    <row r="29" spans="1:18" x14ac:dyDescent="0.35">
      <c r="A29" s="31" t="s">
        <v>33</v>
      </c>
      <c r="B29" s="8">
        <v>2924095</v>
      </c>
      <c r="C29" s="8">
        <v>2880862.5</v>
      </c>
      <c r="D29" s="8">
        <v>3344397.5</v>
      </c>
      <c r="E29" s="8">
        <v>3794182.5</v>
      </c>
      <c r="F29" s="8">
        <v>4230561.25</v>
      </c>
      <c r="G29" s="8">
        <v>4653868.90625</v>
      </c>
      <c r="H29" s="8">
        <v>5064432.24609375</v>
      </c>
      <c r="I29" s="8">
        <v>5462569.8774414063</v>
      </c>
      <c r="J29" s="8">
        <v>5848592.4430053709</v>
      </c>
      <c r="K29" s="8">
        <v>6222802.8194302367</v>
      </c>
      <c r="L29" s="8">
        <v>6585496.3114444809</v>
      </c>
      <c r="M29" s="8">
        <v>6936960.8411583686</v>
      </c>
      <c r="N29" s="8">
        <v>7277477.1326294094</v>
      </c>
      <c r="O29" s="8">
        <v>7607318.891813674</v>
      </c>
      <c r="P29" s="8">
        <v>7926752.982018332</v>
      </c>
    </row>
    <row r="30" spans="1:18" x14ac:dyDescent="0.35">
      <c r="A30" s="31" t="s">
        <v>42</v>
      </c>
      <c r="B30" s="8">
        <f>(427.65+429.02+446.589)*1000/3*0.05</f>
        <v>21720.983333333337</v>
      </c>
      <c r="C30" s="8">
        <f>(429.02+446.589+B58/1000)*1000/3*0.05</f>
        <v>23809.775421166669</v>
      </c>
      <c r="D30" s="8">
        <f>(446.589+(B46+B48)/1000+(C46+C48)/1000)*1000/3*0.05</f>
        <v>26864.77484316667</v>
      </c>
      <c r="E30" s="8">
        <f>(B46+B48+C46+C48+D46+D48)/3*0.05</f>
        <v>28888.066319710211</v>
      </c>
      <c r="F30" s="8">
        <f t="shared" ref="F30:P30" si="33">(C46+C48+D46+D48+E46+E48)/3*0.05</f>
        <v>34276.989114525677</v>
      </c>
      <c r="G30" s="8">
        <f t="shared" si="33"/>
        <v>39580.605482443236</v>
      </c>
      <c r="H30" s="8">
        <f t="shared" si="33"/>
        <v>46491.503639098817</v>
      </c>
      <c r="I30" s="8">
        <f t="shared" si="33"/>
        <v>49104.251215129785</v>
      </c>
      <c r="J30" s="8">
        <f t="shared" si="33"/>
        <v>51644.877829414472</v>
      </c>
      <c r="K30" s="8">
        <f t="shared" si="33"/>
        <v>54139.78003545825</v>
      </c>
      <c r="L30" s="8">
        <f t="shared" si="33"/>
        <v>56608.570211534148</v>
      </c>
      <c r="M30" s="8">
        <f t="shared" si="33"/>
        <v>59052.134462985785</v>
      </c>
      <c r="N30" s="8">
        <f t="shared" si="33"/>
        <v>61471.679203821783</v>
      </c>
      <c r="O30" s="8">
        <f t="shared" si="33"/>
        <v>63868.141336459797</v>
      </c>
      <c r="P30" s="8">
        <f t="shared" si="33"/>
        <v>66242.624711507597</v>
      </c>
    </row>
    <row r="31" spans="1:18" x14ac:dyDescent="0.35">
      <c r="A31" s="38" t="s">
        <v>32</v>
      </c>
      <c r="B31" s="39">
        <f>0.0628*(B29+B30)</f>
        <v>184997.24375333331</v>
      </c>
      <c r="C31" s="39">
        <f>0.0628*(C29+C30)</f>
        <v>182413.41889644926</v>
      </c>
      <c r="D31" s="39">
        <f>0.0628*(D29+D30)</f>
        <v>211715.27086015083</v>
      </c>
      <c r="E31" s="39">
        <f t="shared" ref="E31:O31" si="34">0.0628*E29</f>
        <v>238274.66099999999</v>
      </c>
      <c r="F31" s="39">
        <f t="shared" si="34"/>
        <v>265679.24649999995</v>
      </c>
      <c r="G31" s="39">
        <f t="shared" si="34"/>
        <v>292262.9673125</v>
      </c>
      <c r="H31" s="39">
        <f t="shared" si="34"/>
        <v>318046.34505468747</v>
      </c>
      <c r="I31" s="39">
        <f t="shared" si="34"/>
        <v>343049.38830332027</v>
      </c>
      <c r="J31" s="39">
        <f t="shared" si="34"/>
        <v>367291.60542073724</v>
      </c>
      <c r="K31" s="39">
        <f t="shared" si="34"/>
        <v>390792.01706021884</v>
      </c>
      <c r="L31" s="39">
        <f t="shared" si="34"/>
        <v>413569.16835871339</v>
      </c>
      <c r="M31" s="39">
        <f t="shared" si="34"/>
        <v>435641.14082474553</v>
      </c>
      <c r="N31" s="39">
        <f t="shared" si="34"/>
        <v>457025.56392912689</v>
      </c>
      <c r="O31" s="39">
        <f t="shared" si="34"/>
        <v>477739.62640589871</v>
      </c>
      <c r="P31" s="39">
        <f t="shared" ref="P31" si="35">0.0628*P29</f>
        <v>497800.08727075119</v>
      </c>
    </row>
    <row r="32" spans="1:18" x14ac:dyDescent="0.35">
      <c r="A32" s="1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x14ac:dyDescent="0.35">
      <c r="A33" s="38" t="s">
        <v>50</v>
      </c>
      <c r="B33" s="39">
        <f>B26+B28+B31</f>
        <v>762950.60375333345</v>
      </c>
      <c r="C33" s="39">
        <f>C26+C28+C31</f>
        <v>767420.94889644929</v>
      </c>
      <c r="D33" s="39">
        <f t="shared" ref="D33:O33" si="36">D26+D28+D31</f>
        <v>818749.79503020912</v>
      </c>
      <c r="E33" s="39">
        <f t="shared" si="36"/>
        <v>876313.46845464199</v>
      </c>
      <c r="F33" s="39">
        <f t="shared" si="36"/>
        <v>930536.63489611214</v>
      </c>
      <c r="G33" s="39">
        <f t="shared" si="36"/>
        <v>982639.56464513845</v>
      </c>
      <c r="H33" s="39">
        <f t="shared" si="36"/>
        <v>1033078.4797861394</v>
      </c>
      <c r="I33" s="39">
        <f t="shared" si="36"/>
        <v>1082975.0860708435</v>
      </c>
      <c r="J33" s="39">
        <f t="shared" si="36"/>
        <v>1132335.0218449866</v>
      </c>
      <c r="K33" s="39">
        <f t="shared" si="36"/>
        <v>1181204.7358216255</v>
      </c>
      <c r="L33" s="39">
        <f t="shared" si="36"/>
        <v>1229588.4411408321</v>
      </c>
      <c r="M33" s="39">
        <f t="shared" si="36"/>
        <v>1277506.7073881673</v>
      </c>
      <c r="N33" s="39">
        <f t="shared" si="36"/>
        <v>1324993.0489883446</v>
      </c>
      <c r="O33" s="39">
        <f t="shared" si="36"/>
        <v>1372056.7301452158</v>
      </c>
      <c r="P33" s="39">
        <f t="shared" ref="P33" si="37">P26+P28+P31</f>
        <v>1418713.9847129141</v>
      </c>
    </row>
    <row r="34" spans="1:16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6" x14ac:dyDescent="0.35">
      <c r="A35" s="10" t="s">
        <v>39</v>
      </c>
      <c r="B35" s="17">
        <v>2023</v>
      </c>
      <c r="C35" s="17">
        <f t="shared" ref="C35:P35" si="38">B35+1</f>
        <v>2024</v>
      </c>
      <c r="D35" s="17">
        <f t="shared" si="38"/>
        <v>2025</v>
      </c>
      <c r="E35" s="17">
        <f t="shared" si="38"/>
        <v>2026</v>
      </c>
      <c r="F35" s="17">
        <f t="shared" si="38"/>
        <v>2027</v>
      </c>
      <c r="G35" s="17">
        <f t="shared" si="38"/>
        <v>2028</v>
      </c>
      <c r="H35" s="17">
        <f t="shared" si="38"/>
        <v>2029</v>
      </c>
      <c r="I35" s="17">
        <f t="shared" si="38"/>
        <v>2030</v>
      </c>
      <c r="J35" s="17">
        <f t="shared" si="38"/>
        <v>2031</v>
      </c>
      <c r="K35" s="17">
        <f t="shared" si="38"/>
        <v>2032</v>
      </c>
      <c r="L35" s="17">
        <f t="shared" si="38"/>
        <v>2033</v>
      </c>
      <c r="M35" s="17">
        <f t="shared" si="38"/>
        <v>2034</v>
      </c>
      <c r="N35" s="17">
        <f t="shared" si="38"/>
        <v>2035</v>
      </c>
      <c r="O35" s="17">
        <f t="shared" si="38"/>
        <v>2036</v>
      </c>
      <c r="P35" s="17">
        <f t="shared" si="38"/>
        <v>2037</v>
      </c>
    </row>
    <row r="36" spans="1:16" x14ac:dyDescent="0.35">
      <c r="A36" s="38" t="s">
        <v>8</v>
      </c>
      <c r="B36" s="39">
        <v>146221</v>
      </c>
      <c r="C36" s="39">
        <v>149711</v>
      </c>
      <c r="D36" s="8">
        <v>149541.88058538086</v>
      </c>
      <c r="E36" s="8">
        <v>148963.27379338045</v>
      </c>
      <c r="F36" s="8">
        <v>148382.34923233543</v>
      </c>
      <c r="G36" s="8">
        <v>147795.77650582144</v>
      </c>
      <c r="H36" s="8">
        <v>147223.46689905127</v>
      </c>
      <c r="I36" s="8">
        <v>146688.81236205273</v>
      </c>
      <c r="J36" s="8">
        <v>146165.27512817955</v>
      </c>
      <c r="K36" s="8">
        <v>145683.04697093458</v>
      </c>
      <c r="L36" s="8">
        <v>145215.47649855778</v>
      </c>
      <c r="M36" s="8">
        <v>144759.27047576019</v>
      </c>
      <c r="N36" s="8">
        <v>144327.98145559191</v>
      </c>
      <c r="O36" s="8">
        <v>143904.82152686123</v>
      </c>
      <c r="P36" s="8">
        <v>143483.04868917842</v>
      </c>
    </row>
    <row r="37" spans="1:16" x14ac:dyDescent="0.35">
      <c r="A37" s="38" t="s">
        <v>9</v>
      </c>
      <c r="B37" s="39">
        <f t="shared" ref="B37:P37" si="39">SUM(B38:B39)</f>
        <v>108806</v>
      </c>
      <c r="C37" s="39">
        <f t="shared" si="39"/>
        <v>111566</v>
      </c>
      <c r="D37" s="8">
        <f t="shared" si="39"/>
        <v>111618.87268076323</v>
      </c>
      <c r="E37" s="8">
        <f t="shared" si="39"/>
        <v>111331.50322490667</v>
      </c>
      <c r="F37" s="8">
        <f t="shared" si="39"/>
        <v>111041.81600000552</v>
      </c>
      <c r="G37" s="8">
        <f t="shared" si="39"/>
        <v>110747.49892199953</v>
      </c>
      <c r="H37" s="8">
        <f t="shared" si="39"/>
        <v>110462.35340191668</v>
      </c>
      <c r="I37" s="8">
        <f t="shared" si="39"/>
        <v>110202.64320323577</v>
      </c>
      <c r="J37" s="8">
        <f t="shared" si="39"/>
        <v>109949.97705822368</v>
      </c>
      <c r="K37" s="8">
        <f t="shared" si="39"/>
        <v>109725.38192910596</v>
      </c>
      <c r="L37" s="8">
        <f t="shared" si="39"/>
        <v>109510.35292303572</v>
      </c>
      <c r="M37" s="8">
        <f t="shared" si="39"/>
        <v>109302.61511708813</v>
      </c>
      <c r="N37" s="8">
        <f t="shared" si="39"/>
        <v>109111.64781485675</v>
      </c>
      <c r="O37" s="8">
        <f t="shared" si="39"/>
        <v>108925.75466697053</v>
      </c>
      <c r="P37" s="8">
        <f t="shared" si="39"/>
        <v>108740.23029776807</v>
      </c>
    </row>
    <row r="38" spans="1:16" x14ac:dyDescent="0.35">
      <c r="A38" s="38" t="s">
        <v>63</v>
      </c>
      <c r="B38" s="8">
        <v>100144</v>
      </c>
      <c r="C38" s="14">
        <v>103334</v>
      </c>
      <c r="D38" s="14">
        <v>103386.87268076323</v>
      </c>
      <c r="E38" s="14">
        <v>103099.50322490667</v>
      </c>
      <c r="F38" s="14">
        <v>102809.81600000552</v>
      </c>
      <c r="G38" s="14">
        <v>102515.49892199953</v>
      </c>
      <c r="H38" s="14">
        <v>102230.35340191668</v>
      </c>
      <c r="I38" s="14">
        <v>101970.64320323577</v>
      </c>
      <c r="J38" s="14">
        <v>101717.97705822368</v>
      </c>
      <c r="K38" s="14">
        <v>101493.38192910596</v>
      </c>
      <c r="L38" s="14">
        <v>101278.35292303572</v>
      </c>
      <c r="M38" s="14">
        <v>101070.61511708813</v>
      </c>
      <c r="N38" s="14">
        <v>100879.64781485675</v>
      </c>
      <c r="O38" s="14">
        <v>100693.75466697053</v>
      </c>
      <c r="P38" s="14">
        <v>100508.23029776807</v>
      </c>
    </row>
    <row r="39" spans="1:16" x14ac:dyDescent="0.35">
      <c r="A39" s="38" t="s">
        <v>61</v>
      </c>
      <c r="B39" s="8">
        <v>8662</v>
      </c>
      <c r="C39" s="14">
        <v>8232</v>
      </c>
      <c r="D39" s="14">
        <v>8232</v>
      </c>
      <c r="E39" s="14">
        <v>8232</v>
      </c>
      <c r="F39" s="14">
        <v>8232</v>
      </c>
      <c r="G39" s="14">
        <v>8232</v>
      </c>
      <c r="H39" s="14">
        <v>8232</v>
      </c>
      <c r="I39" s="14">
        <v>8232</v>
      </c>
      <c r="J39" s="14">
        <v>8232</v>
      </c>
      <c r="K39" s="14">
        <v>8232</v>
      </c>
      <c r="L39" s="14">
        <v>8232</v>
      </c>
      <c r="M39" s="14">
        <v>8232</v>
      </c>
      <c r="N39" s="14">
        <v>8232</v>
      </c>
      <c r="O39" s="14">
        <v>8232</v>
      </c>
      <c r="P39" s="14">
        <v>8232</v>
      </c>
    </row>
    <row r="40" spans="1:16" x14ac:dyDescent="0.35">
      <c r="A40" s="11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35">
      <c r="A41" s="10" t="s">
        <v>45</v>
      </c>
      <c r="B41" s="17">
        <v>2023</v>
      </c>
      <c r="C41" s="17">
        <v>2024</v>
      </c>
      <c r="D41" s="17">
        <f t="shared" ref="D41:P41" si="40">C41+1</f>
        <v>2025</v>
      </c>
      <c r="E41" s="17">
        <f t="shared" si="40"/>
        <v>2026</v>
      </c>
      <c r="F41" s="17">
        <f t="shared" si="40"/>
        <v>2027</v>
      </c>
      <c r="G41" s="17">
        <f t="shared" si="40"/>
        <v>2028</v>
      </c>
      <c r="H41" s="17">
        <f t="shared" si="40"/>
        <v>2029</v>
      </c>
      <c r="I41" s="17">
        <f t="shared" si="40"/>
        <v>2030</v>
      </c>
      <c r="J41" s="17">
        <f t="shared" si="40"/>
        <v>2031</v>
      </c>
      <c r="K41" s="17">
        <f t="shared" si="40"/>
        <v>2032</v>
      </c>
      <c r="L41" s="17">
        <f t="shared" si="40"/>
        <v>2033</v>
      </c>
      <c r="M41" s="17">
        <f t="shared" si="40"/>
        <v>2034</v>
      </c>
      <c r="N41" s="17">
        <f t="shared" si="40"/>
        <v>2035</v>
      </c>
      <c r="O41" s="17">
        <f t="shared" si="40"/>
        <v>2036</v>
      </c>
      <c r="P41" s="17">
        <f t="shared" si="40"/>
        <v>2037</v>
      </c>
    </row>
    <row r="42" spans="1:16" x14ac:dyDescent="0.35">
      <c r="A42" s="31" t="s">
        <v>58</v>
      </c>
      <c r="B42" s="49">
        <v>1.8242700000000001</v>
      </c>
      <c r="C42" s="49">
        <v>1.78</v>
      </c>
      <c r="D42" s="49">
        <f>C42</f>
        <v>1.78</v>
      </c>
      <c r="E42" s="27">
        <f>D42*1.535282</f>
        <v>2.7328019600000002</v>
      </c>
      <c r="F42" s="27">
        <f>E42*1.067467</f>
        <v>2.9171759098353203</v>
      </c>
      <c r="G42" s="27">
        <f>F42*1.061287</f>
        <v>3.0959608698213978</v>
      </c>
      <c r="H42" s="27">
        <f>G42*1.0562756</f>
        <v>3.2701879253471189</v>
      </c>
      <c r="I42" s="27">
        <f>H42*1.052823</f>
        <v>3.44292906212773</v>
      </c>
      <c r="J42" s="27">
        <f>I42*1.0451224</f>
        <v>3.5982822844406819</v>
      </c>
      <c r="K42" s="27">
        <f>J42*1.0472683</f>
        <v>3.7683669709463095</v>
      </c>
      <c r="L42" s="27">
        <f>K42*1.0448488</f>
        <v>3.9373737075528865</v>
      </c>
      <c r="M42" s="27">
        <f>L42*1.0426775</f>
        <v>4.1054109739569746</v>
      </c>
      <c r="N42" s="27">
        <f>M42*1.040617</f>
        <v>4.2721604514861848</v>
      </c>
      <c r="O42" s="27">
        <f>N42*1.034948</f>
        <v>4.4214639149447237</v>
      </c>
      <c r="P42" s="27">
        <f>O42*1.03737</f>
        <v>4.586694021446208</v>
      </c>
    </row>
    <row r="43" spans="1:16" x14ac:dyDescent="0.35">
      <c r="A43" s="1" t="s">
        <v>59</v>
      </c>
      <c r="B43" s="49">
        <v>2.5127999999999999</v>
      </c>
      <c r="C43" s="49">
        <v>2.4843799999999998</v>
      </c>
      <c r="D43" s="49">
        <f>C43</f>
        <v>2.4843799999999998</v>
      </c>
      <c r="E43" s="27">
        <f t="shared" ref="E43:E44" si="41">D43*1.535282</f>
        <v>3.8142238951599996</v>
      </c>
      <c r="F43" s="27">
        <f t="shared" ref="F43:F44" si="42">E43*1.067467</f>
        <v>4.0715581386947592</v>
      </c>
      <c r="G43" s="27">
        <f t="shared" ref="G43:G44" si="43">F43*1.061287</f>
        <v>4.3210917223409453</v>
      </c>
      <c r="H43" s="27">
        <f t="shared" ref="H43:H44" si="44">G43*1.0562756</f>
        <v>4.5642637516707154</v>
      </c>
      <c r="I43" s="27">
        <f t="shared" ref="I43:I44" si="45">H43*1.052823</f>
        <v>4.8053618558252182</v>
      </c>
      <c r="J43" s="27">
        <f t="shared" ref="J43:J44" si="46">I43*1.0451224</f>
        <v>5.0221913156285058</v>
      </c>
      <c r="K43" s="27">
        <f t="shared" ref="K43:K44" si="47">J43*1.0472683</f>
        <v>5.2595817613930294</v>
      </c>
      <c r="L43" s="27">
        <f t="shared" ref="L43:L44" si="48">K43*1.0448488</f>
        <v>5.4954676918933929</v>
      </c>
      <c r="M43" s="27">
        <f t="shared" ref="M43:M44" si="49">L43*1.0426775</f>
        <v>5.730000514314173</v>
      </c>
      <c r="N43" s="27">
        <f t="shared" ref="N43:N44" si="50">M43*1.040617</f>
        <v>5.9627359452040709</v>
      </c>
      <c r="O43" s="27">
        <f t="shared" ref="O43:O44" si="51">N43*1.034948</f>
        <v>6.1711216410170628</v>
      </c>
      <c r="P43" s="27">
        <f t="shared" ref="P43:P44" si="52">O43*1.03737</f>
        <v>6.4017364567418698</v>
      </c>
    </row>
    <row r="44" spans="1:16" x14ac:dyDescent="0.35">
      <c r="A44" s="1" t="s">
        <v>60</v>
      </c>
      <c r="B44" s="49">
        <v>3.9931999999999999</v>
      </c>
      <c r="C44" s="49">
        <v>3.6381999999999999</v>
      </c>
      <c r="D44" s="49">
        <f>C44</f>
        <v>3.6381999999999999</v>
      </c>
      <c r="E44" s="27">
        <f t="shared" si="41"/>
        <v>5.5856629723999998</v>
      </c>
      <c r="F44" s="27">
        <f t="shared" si="42"/>
        <v>5.9625108961589106</v>
      </c>
      <c r="G44" s="27">
        <f t="shared" si="43"/>
        <v>6.3279353014518023</v>
      </c>
      <c r="H44" s="27">
        <f t="shared" si="44"/>
        <v>6.6840436573021833</v>
      </c>
      <c r="I44" s="27">
        <f t="shared" si="45"/>
        <v>7.0371148954118565</v>
      </c>
      <c r="J44" s="27">
        <f t="shared" si="46"/>
        <v>7.3546464085685876</v>
      </c>
      <c r="K44" s="27">
        <f t="shared" si="47"/>
        <v>7.7022880414027304</v>
      </c>
      <c r="L44" s="27">
        <f t="shared" si="48"/>
        <v>8.047726417313994</v>
      </c>
      <c r="M44" s="27">
        <f t="shared" si="49"/>
        <v>8.3911832614889121</v>
      </c>
      <c r="N44" s="27">
        <f t="shared" si="50"/>
        <v>8.7320079520208065</v>
      </c>
      <c r="O44" s="27">
        <f t="shared" si="51"/>
        <v>9.0371741659280289</v>
      </c>
      <c r="P44" s="27">
        <f t="shared" si="52"/>
        <v>9.3748933645087593</v>
      </c>
    </row>
    <row r="45" spans="1:16" x14ac:dyDescent="0.35">
      <c r="A45" s="11"/>
      <c r="B45" s="25"/>
      <c r="C45" s="33"/>
      <c r="D45" s="34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16" x14ac:dyDescent="0.35">
      <c r="A46" s="41" t="s">
        <v>51</v>
      </c>
      <c r="B46" s="45">
        <f>B36*B42+B38*B43+B39*B44</f>
        <v>552977.52526999998</v>
      </c>
      <c r="C46" s="45">
        <f t="shared" ref="C46:P46" si="53">C36*C42+C38*C43+C39*C44</f>
        <v>553156.16532000003</v>
      </c>
      <c r="D46" s="45">
        <f t="shared" si="53"/>
        <v>552986.48859261256</v>
      </c>
      <c r="E46" s="45">
        <f t="shared" si="53"/>
        <v>846312.89295892802</v>
      </c>
      <c r="F46" s="45">
        <f t="shared" si="53"/>
        <v>900536.94739505358</v>
      </c>
      <c r="G46" s="45">
        <f t="shared" si="53"/>
        <v>952640.37799194735</v>
      </c>
      <c r="H46" s="45">
        <f t="shared" si="53"/>
        <v>1003077.7475207857</v>
      </c>
      <c r="I46" s="45">
        <f t="shared" si="53"/>
        <v>1052974.5442521353</v>
      </c>
      <c r="J46" s="45">
        <f t="shared" si="53"/>
        <v>1097334.5103545738</v>
      </c>
      <c r="K46" s="45">
        <f t="shared" si="53"/>
        <v>1146205.1580853397</v>
      </c>
      <c r="L46" s="45">
        <f t="shared" si="53"/>
        <v>1194588.3993392338</v>
      </c>
      <c r="M46" s="45">
        <f t="shared" si="53"/>
        <v>1242507.1948047332</v>
      </c>
      <c r="N46" s="45">
        <f>N36*N42+N38*N43+N39*N44</f>
        <v>1289992.8860436203</v>
      </c>
      <c r="O46" s="45">
        <f t="shared" si="53"/>
        <v>1332057.4018421019</v>
      </c>
      <c r="P46" s="45">
        <f t="shared" si="53"/>
        <v>1378714.1658779955</v>
      </c>
    </row>
    <row r="47" spans="1:16" x14ac:dyDescent="0.35">
      <c r="A47" s="41" t="s">
        <v>46</v>
      </c>
      <c r="B47" s="42">
        <f>B49-B48</f>
        <v>762950.60375333345</v>
      </c>
      <c r="C47" s="42">
        <f>C49-C48</f>
        <v>708257.14889644925</v>
      </c>
      <c r="D47" s="42">
        <f t="shared" ref="D47:O47" si="54">D49-D48</f>
        <v>803749.79503020912</v>
      </c>
      <c r="E47" s="42">
        <f t="shared" si="54"/>
        <v>846313.46845464199</v>
      </c>
      <c r="F47" s="42">
        <f t="shared" si="54"/>
        <v>900536.63489611214</v>
      </c>
      <c r="G47" s="42">
        <f t="shared" si="54"/>
        <v>952639.56464513845</v>
      </c>
      <c r="H47" s="42">
        <f t="shared" si="54"/>
        <v>1003078.4797861394</v>
      </c>
      <c r="I47" s="42">
        <f t="shared" si="54"/>
        <v>1052975.0860708435</v>
      </c>
      <c r="J47" s="42">
        <f t="shared" si="54"/>
        <v>1097335.0218449866</v>
      </c>
      <c r="K47" s="42">
        <f t="shared" si="54"/>
        <v>1146204.7358216255</v>
      </c>
      <c r="L47" s="42">
        <f t="shared" si="54"/>
        <v>1194588.4411408321</v>
      </c>
      <c r="M47" s="42">
        <f t="shared" si="54"/>
        <v>1242506.7073881673</v>
      </c>
      <c r="N47" s="42">
        <f t="shared" si="54"/>
        <v>1289993.0489883446</v>
      </c>
      <c r="O47" s="42">
        <f t="shared" si="54"/>
        <v>1332056.7301452158</v>
      </c>
      <c r="P47" s="42">
        <f t="shared" ref="P47" si="55">P49-P48</f>
        <v>1378713.9847129141</v>
      </c>
    </row>
    <row r="48" spans="1:16" x14ac:dyDescent="0.35">
      <c r="A48" s="41" t="s">
        <v>43</v>
      </c>
      <c r="B48" s="45">
        <v>0</v>
      </c>
      <c r="C48" s="45">
        <v>59163.8</v>
      </c>
      <c r="D48" s="45">
        <f>1000*15</f>
        <v>15000</v>
      </c>
      <c r="E48" s="45">
        <f>3000*10</f>
        <v>30000</v>
      </c>
      <c r="F48" s="45">
        <f>3000*10</f>
        <v>30000</v>
      </c>
      <c r="G48" s="45">
        <f>3000*10</f>
        <v>30000</v>
      </c>
      <c r="H48" s="45">
        <f t="shared" ref="H48:I48" si="56">3000*10</f>
        <v>30000</v>
      </c>
      <c r="I48" s="45">
        <f t="shared" si="56"/>
        <v>30000</v>
      </c>
      <c r="J48" s="45">
        <f>3500*10</f>
        <v>35000</v>
      </c>
      <c r="K48" s="45">
        <f>3500*10</f>
        <v>35000</v>
      </c>
      <c r="L48" s="45">
        <f>3500*10</f>
        <v>35000</v>
      </c>
      <c r="M48" s="45">
        <f>3500*10</f>
        <v>35000</v>
      </c>
      <c r="N48" s="45">
        <f>3500*10</f>
        <v>35000</v>
      </c>
      <c r="O48" s="45">
        <f>4000*10</f>
        <v>40000</v>
      </c>
      <c r="P48" s="45">
        <f>4000*10</f>
        <v>40000</v>
      </c>
    </row>
    <row r="49" spans="1:16" x14ac:dyDescent="0.35">
      <c r="A49" s="41" t="s">
        <v>44</v>
      </c>
      <c r="B49" s="42">
        <f t="shared" ref="B49:P49" si="57">B33</f>
        <v>762950.60375333345</v>
      </c>
      <c r="C49" s="42">
        <f t="shared" si="57"/>
        <v>767420.94889644929</v>
      </c>
      <c r="D49" s="42">
        <f t="shared" si="57"/>
        <v>818749.79503020912</v>
      </c>
      <c r="E49" s="42">
        <f t="shared" si="57"/>
        <v>876313.46845464199</v>
      </c>
      <c r="F49" s="42">
        <f t="shared" si="57"/>
        <v>930536.63489611214</v>
      </c>
      <c r="G49" s="42">
        <f t="shared" si="57"/>
        <v>982639.56464513845</v>
      </c>
      <c r="H49" s="42">
        <f t="shared" si="57"/>
        <v>1033078.4797861394</v>
      </c>
      <c r="I49" s="42">
        <f t="shared" si="57"/>
        <v>1082975.0860708435</v>
      </c>
      <c r="J49" s="42">
        <f t="shared" si="57"/>
        <v>1132335.0218449866</v>
      </c>
      <c r="K49" s="42">
        <f t="shared" si="57"/>
        <v>1181204.7358216255</v>
      </c>
      <c r="L49" s="42">
        <f t="shared" si="57"/>
        <v>1229588.4411408321</v>
      </c>
      <c r="M49" s="42">
        <f t="shared" si="57"/>
        <v>1277506.7073881673</v>
      </c>
      <c r="N49" s="42">
        <f t="shared" si="57"/>
        <v>1324993.0489883446</v>
      </c>
      <c r="O49" s="42">
        <f t="shared" si="57"/>
        <v>1372056.7301452158</v>
      </c>
      <c r="P49" s="42">
        <f t="shared" si="57"/>
        <v>1418713.9847129141</v>
      </c>
    </row>
    <row r="50" spans="1:16" ht="6.65" customHeight="1" x14ac:dyDescent="0.35">
      <c r="A50" s="11"/>
      <c r="B50" s="7"/>
      <c r="C50" s="7"/>
    </row>
    <row r="51" spans="1:16" ht="21.65" hidden="1" customHeight="1" x14ac:dyDescent="0.3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ht="12" customHeight="1" x14ac:dyDescent="0.35">
      <c r="A52" s="7"/>
      <c r="B52" s="7"/>
      <c r="C52" s="50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x14ac:dyDescent="0.35">
      <c r="A53" s="9" t="s">
        <v>47</v>
      </c>
      <c r="B53" s="8">
        <v>70</v>
      </c>
      <c r="C53" s="8">
        <v>70</v>
      </c>
      <c r="D53" s="8">
        <v>70</v>
      </c>
      <c r="E53" s="8">
        <v>70</v>
      </c>
      <c r="F53" s="8">
        <v>70</v>
      </c>
      <c r="G53" s="8">
        <v>70</v>
      </c>
      <c r="H53" s="8">
        <v>70</v>
      </c>
      <c r="I53" s="8">
        <v>70</v>
      </c>
      <c r="J53" s="8">
        <v>70</v>
      </c>
      <c r="K53" s="8">
        <v>70</v>
      </c>
      <c r="L53" s="8">
        <v>70</v>
      </c>
      <c r="M53" s="8">
        <v>70</v>
      </c>
      <c r="N53" s="8">
        <v>70</v>
      </c>
      <c r="O53" s="8">
        <v>70</v>
      </c>
      <c r="P53" s="8">
        <v>70</v>
      </c>
    </row>
    <row r="54" spans="1:16" x14ac:dyDescent="0.35">
      <c r="A54" s="9" t="s">
        <v>64</v>
      </c>
      <c r="B54" s="8">
        <v>960.2</v>
      </c>
      <c r="C54" s="8">
        <f t="shared" ref="C54:P54" si="58">B54*(1+C2)</f>
        <v>993.80700000000002</v>
      </c>
      <c r="D54" s="8">
        <f t="shared" si="58"/>
        <v>1045.484964</v>
      </c>
      <c r="E54" s="8">
        <f t="shared" si="58"/>
        <v>1079.9859678119999</v>
      </c>
      <c r="F54" s="8">
        <f t="shared" si="58"/>
        <v>1105.9056310394878</v>
      </c>
      <c r="G54" s="8">
        <f t="shared" si="58"/>
        <v>1130.2355549223566</v>
      </c>
      <c r="H54" s="8">
        <f t="shared" si="58"/>
        <v>1152.8402660208037</v>
      </c>
      <c r="I54" s="8">
        <f t="shared" si="58"/>
        <v>1175.8970713412198</v>
      </c>
      <c r="J54" s="8">
        <f t="shared" si="58"/>
        <v>1199.4150127680441</v>
      </c>
      <c r="K54" s="8">
        <f t="shared" si="58"/>
        <v>1223.403313023405</v>
      </c>
      <c r="L54" s="8">
        <f t="shared" si="58"/>
        <v>1247.871379283873</v>
      </c>
      <c r="M54" s="8">
        <f t="shared" si="58"/>
        <v>1272.8288068695506</v>
      </c>
      <c r="N54" s="8">
        <f t="shared" si="58"/>
        <v>1298.2853830069416</v>
      </c>
      <c r="O54" s="8">
        <f t="shared" si="58"/>
        <v>1324.2510906670805</v>
      </c>
      <c r="P54" s="8">
        <f t="shared" si="58"/>
        <v>1350.7361124804222</v>
      </c>
    </row>
    <row r="55" spans="1:16" x14ac:dyDescent="0.35">
      <c r="A55" s="9" t="s">
        <v>20</v>
      </c>
      <c r="B55" s="28">
        <f>((B42*1.22*B53+B43*1.22*B53)*365/12/1000)</f>
        <v>11.265900747500002</v>
      </c>
      <c r="C55" s="28">
        <f>((C42*1.22*C53+C43*1.22*C53)*365/12/1000)</f>
        <v>11.077082415</v>
      </c>
      <c r="D55" s="28">
        <f>((D42*1.23*D53+D43*1.23*D53)*365/12/1000)</f>
        <v>11.1678781725</v>
      </c>
      <c r="E55" s="28">
        <f>((E42*1.24*E53+E43*1.24*E53)*365/12/1000)</f>
        <v>17.28523942859826</v>
      </c>
      <c r="F55" s="28">
        <f>((F42*1.24*F53+F43*1.24*F53)*365/12/1000)</f>
        <v>18.4514226771275</v>
      </c>
      <c r="G55" s="28">
        <f>((G42*1.24*G53+G43*1.24*G53)*365/12/1000)</f>
        <v>19.582255018740611</v>
      </c>
      <c r="H55" s="28">
        <f t="shared" ref="H55:P55" si="59">((H42*1.22*H53+H43*1.22*H53)*365/12/1000)</f>
        <v>20.350641102026913</v>
      </c>
      <c r="I55" s="28">
        <f t="shared" si="59"/>
        <v>21.425623016959278</v>
      </c>
      <c r="J55" s="28">
        <f t="shared" si="59"/>
        <v>22.39239854897972</v>
      </c>
      <c r="K55" s="28">
        <f t="shared" si="59"/>
        <v>23.450849161312462</v>
      </c>
      <c r="L55" s="28">
        <f t="shared" si="59"/>
        <v>24.502591605178331</v>
      </c>
      <c r="M55" s="28">
        <f t="shared" si="59"/>
        <v>25.548300958408333</v>
      </c>
      <c r="N55" s="28">
        <f t="shared" si="59"/>
        <v>26.585996298435997</v>
      </c>
      <c r="O55" s="28">
        <f t="shared" si="59"/>
        <v>27.515123697073737</v>
      </c>
      <c r="P55" s="28">
        <f t="shared" si="59"/>
        <v>28.543363869633382</v>
      </c>
    </row>
    <row r="56" spans="1:16" x14ac:dyDescent="0.35">
      <c r="A56" s="10" t="s">
        <v>21</v>
      </c>
      <c r="B56" s="29">
        <f t="shared" ref="B56:P56" si="60">B55/B54</f>
        <v>1.1732868930951885E-2</v>
      </c>
      <c r="C56" s="29">
        <f t="shared" si="60"/>
        <v>1.1146110275938889E-2</v>
      </c>
      <c r="D56" s="29">
        <f t="shared" si="60"/>
        <v>1.0682007448267807E-2</v>
      </c>
      <c r="E56" s="29">
        <f t="shared" si="60"/>
        <v>1.6005059272776786E-2</v>
      </c>
      <c r="F56" s="29">
        <f t="shared" si="60"/>
        <v>1.6684445905012908E-2</v>
      </c>
      <c r="G56" s="29">
        <f t="shared" si="60"/>
        <v>1.7325817554983788E-2</v>
      </c>
      <c r="H56" s="29">
        <f t="shared" si="60"/>
        <v>1.7652611295639522E-2</v>
      </c>
      <c r="I56" s="29">
        <f t="shared" si="60"/>
        <v>1.8220661943244204E-2</v>
      </c>
      <c r="J56" s="29">
        <f t="shared" si="60"/>
        <v>1.8669433274227498E-2</v>
      </c>
      <c r="K56" s="29">
        <f t="shared" si="60"/>
        <v>1.9168534948101636E-2</v>
      </c>
      <c r="L56" s="29">
        <f t="shared" si="60"/>
        <v>1.9635510527727506E-2</v>
      </c>
      <c r="M56" s="29">
        <f t="shared" si="60"/>
        <v>2.0072063753210391E-2</v>
      </c>
      <c r="N56" s="29">
        <f t="shared" si="60"/>
        <v>2.0477775261445619E-2</v>
      </c>
      <c r="O56" s="29">
        <f t="shared" si="60"/>
        <v>2.0777875050277075E-2</v>
      </c>
      <c r="P56" s="29">
        <f t="shared" si="60"/>
        <v>2.1131710040103849E-2</v>
      </c>
    </row>
    <row r="57" spans="1:16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x14ac:dyDescent="0.35">
      <c r="A58" s="10" t="s">
        <v>16</v>
      </c>
      <c r="B58" s="16">
        <f t="shared" ref="B58:P58" si="61">B46+B48</f>
        <v>552977.52526999998</v>
      </c>
      <c r="C58" s="16">
        <f t="shared" si="61"/>
        <v>612319.96532000008</v>
      </c>
      <c r="D58" s="16">
        <f t="shared" si="61"/>
        <v>567986.48859261256</v>
      </c>
      <c r="E58" s="16">
        <f t="shared" si="61"/>
        <v>876312.89295892802</v>
      </c>
      <c r="F58" s="16">
        <f t="shared" si="61"/>
        <v>930536.94739505358</v>
      </c>
      <c r="G58" s="16">
        <f t="shared" si="61"/>
        <v>982640.37799194735</v>
      </c>
      <c r="H58" s="16">
        <f t="shared" si="61"/>
        <v>1033077.7475207857</v>
      </c>
      <c r="I58" s="16">
        <f t="shared" si="61"/>
        <v>1082974.5442521353</v>
      </c>
      <c r="J58" s="16">
        <f t="shared" si="61"/>
        <v>1132334.5103545738</v>
      </c>
      <c r="K58" s="16">
        <f t="shared" si="61"/>
        <v>1181205.1580853397</v>
      </c>
      <c r="L58" s="16">
        <f t="shared" si="61"/>
        <v>1229588.3993392338</v>
      </c>
      <c r="M58" s="16">
        <f t="shared" si="61"/>
        <v>1277507.1948047332</v>
      </c>
      <c r="N58" s="16">
        <f t="shared" si="61"/>
        <v>1324992.8860436203</v>
      </c>
      <c r="O58" s="16">
        <f t="shared" si="61"/>
        <v>1372057.4018421019</v>
      </c>
      <c r="P58" s="16">
        <f t="shared" si="61"/>
        <v>1418714.1658779955</v>
      </c>
    </row>
    <row r="59" spans="1:16" x14ac:dyDescent="0.35">
      <c r="A59" s="11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35">
      <c r="A60" s="10" t="s">
        <v>49</v>
      </c>
      <c r="B60" s="47">
        <v>2023</v>
      </c>
      <c r="C60" s="17">
        <v>2024</v>
      </c>
      <c r="D60" s="17">
        <f t="shared" ref="D60" si="62">C60+1</f>
        <v>2025</v>
      </c>
      <c r="E60" s="17">
        <f t="shared" ref="E60" si="63">D60+1</f>
        <v>2026</v>
      </c>
      <c r="F60" s="17">
        <f t="shared" ref="F60" si="64">E60+1</f>
        <v>2027</v>
      </c>
      <c r="G60" s="17">
        <f t="shared" ref="G60" si="65">F60+1</f>
        <v>2028</v>
      </c>
      <c r="H60" s="17">
        <f t="shared" ref="H60" si="66">G60+1</f>
        <v>2029</v>
      </c>
      <c r="I60" s="17">
        <f t="shared" ref="I60" si="67">H60+1</f>
        <v>2030</v>
      </c>
      <c r="J60" s="17">
        <f t="shared" ref="J60" si="68">I60+1</f>
        <v>2031</v>
      </c>
      <c r="K60" s="17">
        <f t="shared" ref="K60" si="69">J60+1</f>
        <v>2032</v>
      </c>
      <c r="L60" s="17">
        <f t="shared" ref="L60" si="70">K60+1</f>
        <v>2033</v>
      </c>
      <c r="M60" s="17">
        <f t="shared" ref="M60" si="71">L60+1</f>
        <v>2034</v>
      </c>
      <c r="N60" s="17">
        <f t="shared" ref="N60" si="72">M60+1</f>
        <v>2035</v>
      </c>
      <c r="O60" s="17">
        <f t="shared" ref="O60:P60" si="73">N60+1</f>
        <v>2036</v>
      </c>
      <c r="P60" s="17">
        <f t="shared" si="73"/>
        <v>2037</v>
      </c>
    </row>
    <row r="61" spans="1:16" x14ac:dyDescent="0.35">
      <c r="A61" s="9" t="s">
        <v>11</v>
      </c>
      <c r="B61" s="8">
        <f t="shared" ref="B61:O61" si="74">B58</f>
        <v>552977.52526999998</v>
      </c>
      <c r="C61" s="8">
        <f t="shared" si="74"/>
        <v>612319.96532000008</v>
      </c>
      <c r="D61" s="8">
        <f t="shared" si="74"/>
        <v>567986.48859261256</v>
      </c>
      <c r="E61" s="8">
        <f t="shared" si="74"/>
        <v>876312.89295892802</v>
      </c>
      <c r="F61" s="8">
        <f t="shared" si="74"/>
        <v>930536.94739505358</v>
      </c>
      <c r="G61" s="8">
        <f t="shared" si="74"/>
        <v>982640.37799194735</v>
      </c>
      <c r="H61" s="8">
        <f t="shared" si="74"/>
        <v>1033077.7475207857</v>
      </c>
      <c r="I61" s="8">
        <f t="shared" si="74"/>
        <v>1082974.5442521353</v>
      </c>
      <c r="J61" s="8">
        <f t="shared" si="74"/>
        <v>1132334.5103545738</v>
      </c>
      <c r="K61" s="8">
        <f t="shared" si="74"/>
        <v>1181205.1580853397</v>
      </c>
      <c r="L61" s="8">
        <f t="shared" si="74"/>
        <v>1229588.3993392338</v>
      </c>
      <c r="M61" s="8">
        <f t="shared" si="74"/>
        <v>1277507.1948047332</v>
      </c>
      <c r="N61" s="8">
        <f t="shared" si="74"/>
        <v>1324992.8860436203</v>
      </c>
      <c r="O61" s="8">
        <f t="shared" si="74"/>
        <v>1372057.4018421019</v>
      </c>
      <c r="P61" s="8">
        <f t="shared" ref="P61" si="75">P58</f>
        <v>1418714.1658779955</v>
      </c>
    </row>
    <row r="62" spans="1:16" x14ac:dyDescent="0.35">
      <c r="A62" s="9" t="s">
        <v>25</v>
      </c>
      <c r="B62" s="8">
        <f t="shared" ref="B62:P62" si="76">B26</f>
        <v>491668.36000000004</v>
      </c>
      <c r="C62" s="8">
        <f t="shared" si="76"/>
        <v>498542.53</v>
      </c>
      <c r="D62" s="8">
        <f t="shared" si="76"/>
        <v>520569.52417005826</v>
      </c>
      <c r="E62" s="8">
        <f t="shared" si="76"/>
        <v>537823.80745464202</v>
      </c>
      <c r="F62" s="8">
        <f t="shared" si="76"/>
        <v>550892.38839611225</v>
      </c>
      <c r="G62" s="8">
        <f t="shared" si="76"/>
        <v>562661.59733263846</v>
      </c>
      <c r="H62" s="8">
        <f t="shared" si="76"/>
        <v>573567.13473145198</v>
      </c>
      <c r="I62" s="8">
        <f t="shared" si="76"/>
        <v>584710.69776752335</v>
      </c>
      <c r="J62" s="8">
        <f t="shared" si="76"/>
        <v>596078.41642424942</v>
      </c>
      <c r="K62" s="8">
        <f t="shared" si="76"/>
        <v>607697.71876140661</v>
      </c>
      <c r="L62" s="8">
        <f t="shared" si="76"/>
        <v>619554.27278211876</v>
      </c>
      <c r="M62" s="8">
        <f t="shared" si="76"/>
        <v>631650.56656342163</v>
      </c>
      <c r="N62" s="8">
        <f t="shared" si="76"/>
        <v>644002.48505921778</v>
      </c>
      <c r="O62" s="8">
        <f t="shared" si="76"/>
        <v>656602.10373931704</v>
      </c>
      <c r="P62" s="8">
        <f t="shared" si="76"/>
        <v>669448.89744216285</v>
      </c>
    </row>
    <row r="63" spans="1:16" x14ac:dyDescent="0.35">
      <c r="A63" s="9" t="s">
        <v>34</v>
      </c>
      <c r="B63" s="8">
        <f t="shared" ref="B63:O63" si="77">B61-B62</f>
        <v>61309.165269999939</v>
      </c>
      <c r="C63" s="8">
        <f t="shared" si="77"/>
        <v>113777.43532000005</v>
      </c>
      <c r="D63" s="8">
        <f t="shared" si="77"/>
        <v>47416.964422554302</v>
      </c>
      <c r="E63" s="8">
        <f t="shared" si="77"/>
        <v>338489.08550428599</v>
      </c>
      <c r="F63" s="8">
        <f t="shared" si="77"/>
        <v>379644.55899894133</v>
      </c>
      <c r="G63" s="8">
        <f t="shared" si="77"/>
        <v>419978.78065930889</v>
      </c>
      <c r="H63" s="8">
        <f t="shared" si="77"/>
        <v>459510.61278933368</v>
      </c>
      <c r="I63" s="8">
        <f t="shared" si="77"/>
        <v>498263.84648461198</v>
      </c>
      <c r="J63" s="8">
        <f t="shared" si="77"/>
        <v>536256.09393032442</v>
      </c>
      <c r="K63" s="8">
        <f t="shared" si="77"/>
        <v>573507.4393239331</v>
      </c>
      <c r="L63" s="8">
        <f t="shared" si="77"/>
        <v>610034.126557115</v>
      </c>
      <c r="M63" s="8">
        <f t="shared" si="77"/>
        <v>645856.62824131153</v>
      </c>
      <c r="N63" s="8">
        <f t="shared" si="77"/>
        <v>680990.40098440251</v>
      </c>
      <c r="O63" s="8">
        <f t="shared" si="77"/>
        <v>715455.2981027849</v>
      </c>
      <c r="P63" s="8">
        <f t="shared" ref="P63" si="78">P61-P62</f>
        <v>749265.2684358327</v>
      </c>
    </row>
    <row r="64" spans="1:16" x14ac:dyDescent="0.35">
      <c r="A64" s="9" t="s">
        <v>54</v>
      </c>
      <c r="B64" s="8">
        <v>24175</v>
      </c>
      <c r="C64" s="8">
        <v>24360</v>
      </c>
      <c r="D64" s="8">
        <v>24192</v>
      </c>
      <c r="E64" s="8">
        <v>23792</v>
      </c>
      <c r="F64" s="8">
        <v>18610</v>
      </c>
      <c r="G64" s="8">
        <v>17292</v>
      </c>
      <c r="H64" s="8">
        <v>17292</v>
      </c>
      <c r="I64" s="8">
        <v>17292</v>
      </c>
      <c r="J64" s="8">
        <v>17306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</row>
    <row r="65" spans="1:16" x14ac:dyDescent="0.35">
      <c r="A65" s="9" t="s">
        <v>52</v>
      </c>
      <c r="B65" s="8">
        <v>6270</v>
      </c>
      <c r="C65" s="8">
        <v>7174</v>
      </c>
      <c r="D65" s="8">
        <v>4261.5940000000001</v>
      </c>
      <c r="E65" s="8">
        <v>3387.5120000000002</v>
      </c>
      <c r="F65" s="8">
        <v>2636.2340000000004</v>
      </c>
      <c r="G65" s="8">
        <v>2027.9560000000001</v>
      </c>
      <c r="H65" s="8">
        <v>1448.674</v>
      </c>
      <c r="I65" s="8">
        <v>869.39200000000005</v>
      </c>
      <c r="J65" s="8">
        <v>289.87550000000005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1:16" x14ac:dyDescent="0.35">
      <c r="A66" s="10" t="s">
        <v>18</v>
      </c>
      <c r="B66" s="13">
        <f t="shared" ref="B66:J66" si="79">B63/(B64+B65)</f>
        <v>2.0137679510592852</v>
      </c>
      <c r="C66" s="13">
        <f t="shared" si="79"/>
        <v>3.6080876298598352</v>
      </c>
      <c r="D66" s="13">
        <f t="shared" si="79"/>
        <v>1.6664666130596473</v>
      </c>
      <c r="E66" s="13">
        <f t="shared" si="79"/>
        <v>12.453832339016463</v>
      </c>
      <c r="F66" s="13">
        <f t="shared" si="79"/>
        <v>17.868793076407862</v>
      </c>
      <c r="G66" s="13">
        <f t="shared" si="79"/>
        <v>21.73808163224124</v>
      </c>
      <c r="H66" s="13">
        <f t="shared" si="79"/>
        <v>24.519428318817866</v>
      </c>
      <c r="I66" s="13">
        <f t="shared" si="79"/>
        <v>27.435333507729581</v>
      </c>
      <c r="J66" s="13">
        <f t="shared" si="79"/>
        <v>30.476238248578451</v>
      </c>
      <c r="K66" s="13"/>
      <c r="L66" s="13"/>
      <c r="M66" s="13"/>
      <c r="N66" s="13"/>
      <c r="O66" s="13"/>
      <c r="P66" s="13"/>
    </row>
    <row r="67" spans="1:16" x14ac:dyDescent="0.35">
      <c r="A67" s="11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1:16" ht="0.75" hidden="1" customHeight="1" x14ac:dyDescent="0.35">
      <c r="A68" s="11" t="s">
        <v>10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hidden="1" x14ac:dyDescent="0.35">
      <c r="A69" s="9" t="s">
        <v>11</v>
      </c>
      <c r="B69" s="8">
        <f t="shared" ref="B69:O69" si="80">B58</f>
        <v>552977.52526999998</v>
      </c>
      <c r="C69" s="8">
        <f t="shared" si="80"/>
        <v>612319.96532000008</v>
      </c>
      <c r="D69" s="8">
        <f t="shared" si="80"/>
        <v>567986.48859261256</v>
      </c>
      <c r="E69" s="8">
        <f t="shared" si="80"/>
        <v>876312.89295892802</v>
      </c>
      <c r="F69" s="8">
        <f t="shared" si="80"/>
        <v>930536.94739505358</v>
      </c>
      <c r="G69" s="8">
        <f t="shared" si="80"/>
        <v>982640.37799194735</v>
      </c>
      <c r="H69" s="8">
        <f t="shared" si="80"/>
        <v>1033077.7475207857</v>
      </c>
      <c r="I69" s="8">
        <f t="shared" si="80"/>
        <v>1082974.5442521353</v>
      </c>
      <c r="J69" s="8">
        <f t="shared" si="80"/>
        <v>1132334.5103545738</v>
      </c>
      <c r="K69" s="8">
        <f t="shared" si="80"/>
        <v>1181205.1580853397</v>
      </c>
      <c r="L69" s="8">
        <f t="shared" si="80"/>
        <v>1229588.3993392338</v>
      </c>
      <c r="M69" s="8">
        <f t="shared" si="80"/>
        <v>1277507.1948047332</v>
      </c>
      <c r="N69" s="8">
        <f t="shared" si="80"/>
        <v>1324992.8860436203</v>
      </c>
      <c r="O69" s="8">
        <f t="shared" si="80"/>
        <v>1372057.4018421019</v>
      </c>
      <c r="P69" s="8">
        <f t="shared" ref="P69" si="81">P58</f>
        <v>1418714.1658779955</v>
      </c>
    </row>
    <row r="70" spans="1:16" hidden="1" x14ac:dyDescent="0.35">
      <c r="A70" s="9" t="s">
        <v>25</v>
      </c>
      <c r="B70" s="8">
        <f t="shared" ref="B70:P70" si="82">B26</f>
        <v>491668.36000000004</v>
      </c>
      <c r="C70" s="8">
        <f t="shared" si="82"/>
        <v>498542.53</v>
      </c>
      <c r="D70" s="8">
        <f t="shared" si="82"/>
        <v>520569.52417005826</v>
      </c>
      <c r="E70" s="8">
        <f t="shared" si="82"/>
        <v>537823.80745464202</v>
      </c>
      <c r="F70" s="8">
        <f t="shared" si="82"/>
        <v>550892.38839611225</v>
      </c>
      <c r="G70" s="8">
        <f t="shared" si="82"/>
        <v>562661.59733263846</v>
      </c>
      <c r="H70" s="8">
        <f t="shared" si="82"/>
        <v>573567.13473145198</v>
      </c>
      <c r="I70" s="8">
        <f t="shared" si="82"/>
        <v>584710.69776752335</v>
      </c>
      <c r="J70" s="8">
        <f t="shared" si="82"/>
        <v>596078.41642424942</v>
      </c>
      <c r="K70" s="8">
        <f t="shared" si="82"/>
        <v>607697.71876140661</v>
      </c>
      <c r="L70" s="8">
        <f t="shared" si="82"/>
        <v>619554.27278211876</v>
      </c>
      <c r="M70" s="8">
        <f t="shared" si="82"/>
        <v>631650.56656342163</v>
      </c>
      <c r="N70" s="8">
        <f t="shared" si="82"/>
        <v>644002.48505921778</v>
      </c>
      <c r="O70" s="8">
        <f t="shared" si="82"/>
        <v>656602.10373931704</v>
      </c>
      <c r="P70" s="8">
        <f t="shared" si="82"/>
        <v>669448.89744216285</v>
      </c>
    </row>
    <row r="71" spans="1:16" hidden="1" x14ac:dyDescent="0.35">
      <c r="A71" s="9" t="s">
        <v>17</v>
      </c>
      <c r="B71" s="8">
        <f t="shared" ref="B71:O71" si="83">B69-B70</f>
        <v>61309.165269999939</v>
      </c>
      <c r="C71" s="8">
        <f t="shared" si="83"/>
        <v>113777.43532000005</v>
      </c>
      <c r="D71" s="8">
        <f t="shared" si="83"/>
        <v>47416.964422554302</v>
      </c>
      <c r="E71" s="8">
        <f t="shared" si="83"/>
        <v>338489.08550428599</v>
      </c>
      <c r="F71" s="8">
        <f t="shared" si="83"/>
        <v>379644.55899894133</v>
      </c>
      <c r="G71" s="8">
        <f t="shared" si="83"/>
        <v>419978.78065930889</v>
      </c>
      <c r="H71" s="8">
        <f t="shared" si="83"/>
        <v>459510.61278933368</v>
      </c>
      <c r="I71" s="8">
        <f t="shared" si="83"/>
        <v>498263.84648461198</v>
      </c>
      <c r="J71" s="8">
        <f t="shared" si="83"/>
        <v>536256.09393032442</v>
      </c>
      <c r="K71" s="8">
        <f t="shared" si="83"/>
        <v>573507.4393239331</v>
      </c>
      <c r="L71" s="8">
        <f t="shared" si="83"/>
        <v>610034.126557115</v>
      </c>
      <c r="M71" s="8">
        <f t="shared" si="83"/>
        <v>645856.62824131153</v>
      </c>
      <c r="N71" s="8">
        <f t="shared" si="83"/>
        <v>680990.40098440251</v>
      </c>
      <c r="O71" s="8">
        <f t="shared" si="83"/>
        <v>715455.2981027849</v>
      </c>
      <c r="P71" s="8">
        <f t="shared" ref="P71" si="84">P69-P70</f>
        <v>749265.2684358327</v>
      </c>
    </row>
    <row r="72" spans="1:16" hidden="1" x14ac:dyDescent="0.35">
      <c r="A72" s="9" t="s">
        <v>15</v>
      </c>
      <c r="B72" s="8" t="e">
        <f>#REF!+#REF!</f>
        <v>#REF!</v>
      </c>
      <c r="C72" s="8" t="e">
        <f>#REF!+#REF!</f>
        <v>#REF!</v>
      </c>
      <c r="D72" s="8" t="e">
        <f>#REF!+#REF!</f>
        <v>#REF!</v>
      </c>
      <c r="E72" s="8" t="e">
        <f>#REF!+#REF!</f>
        <v>#REF!</v>
      </c>
      <c r="F72" s="8" t="e">
        <f>#REF!+#REF!</f>
        <v>#REF!</v>
      </c>
      <c r="G72" s="8" t="e">
        <f>#REF!+#REF!</f>
        <v>#REF!</v>
      </c>
      <c r="H72" s="8" t="e">
        <f>#REF!+#REF!</f>
        <v>#REF!</v>
      </c>
      <c r="I72" s="8" t="e">
        <f>#REF!+#REF!</f>
        <v>#REF!</v>
      </c>
      <c r="J72" s="8" t="e">
        <f>#REF!+#REF!</f>
        <v>#REF!</v>
      </c>
      <c r="K72" s="8" t="e">
        <f>#REF!+#REF!</f>
        <v>#REF!</v>
      </c>
      <c r="L72" s="8" t="e">
        <f>#REF!+#REF!</f>
        <v>#REF!</v>
      </c>
      <c r="M72" s="8" t="e">
        <f>#REF!+#REF!</f>
        <v>#REF!</v>
      </c>
      <c r="N72" s="8" t="e">
        <f>#REF!+#REF!</f>
        <v>#REF!</v>
      </c>
      <c r="O72" s="8" t="e">
        <f>#REF!+#REF!</f>
        <v>#REF!</v>
      </c>
      <c r="P72" s="8" t="e">
        <f>#REF!+#REF!</f>
        <v>#REF!</v>
      </c>
    </row>
    <row r="73" spans="1:16" ht="15" hidden="1" customHeight="1" x14ac:dyDescent="0.35">
      <c r="A73" s="10" t="s">
        <v>18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hidden="1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hidden="1" x14ac:dyDescent="0.35">
      <c r="A75" s="7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7"/>
      <c r="N75" s="7"/>
      <c r="O75" s="7"/>
      <c r="P75" s="7"/>
    </row>
    <row r="76" spans="1:16" x14ac:dyDescent="0.35">
      <c r="A76" s="10" t="s">
        <v>24</v>
      </c>
      <c r="B76" s="17">
        <v>2023</v>
      </c>
      <c r="C76" s="17">
        <v>2024</v>
      </c>
      <c r="D76" s="17">
        <f t="shared" ref="D76" si="85">C76+1</f>
        <v>2025</v>
      </c>
      <c r="E76" s="17">
        <f t="shared" ref="E76" si="86">D76+1</f>
        <v>2026</v>
      </c>
      <c r="F76" s="17">
        <f t="shared" ref="F76" si="87">E76+1</f>
        <v>2027</v>
      </c>
      <c r="G76" s="17">
        <f t="shared" ref="G76" si="88">F76+1</f>
        <v>2028</v>
      </c>
      <c r="H76" s="17">
        <f t="shared" ref="H76" si="89">G76+1</f>
        <v>2029</v>
      </c>
      <c r="I76" s="17">
        <f t="shared" ref="I76" si="90">H76+1</f>
        <v>2030</v>
      </c>
      <c r="J76" s="17">
        <f t="shared" ref="J76" si="91">I76+1</f>
        <v>2031</v>
      </c>
      <c r="K76" s="17">
        <f t="shared" ref="K76" si="92">J76+1</f>
        <v>2032</v>
      </c>
      <c r="L76" s="17">
        <f t="shared" ref="L76" si="93">K76+1</f>
        <v>2033</v>
      </c>
      <c r="M76" s="17">
        <f t="shared" ref="M76" si="94">L76+1</f>
        <v>2034</v>
      </c>
      <c r="N76" s="17">
        <f t="shared" ref="N76" si="95">M76+1</f>
        <v>2035</v>
      </c>
      <c r="O76" s="17">
        <f t="shared" ref="O76:P76" si="96">N76+1</f>
        <v>2036</v>
      </c>
      <c r="P76" s="17">
        <f t="shared" si="96"/>
        <v>2037</v>
      </c>
    </row>
    <row r="77" spans="1:16" x14ac:dyDescent="0.35">
      <c r="A77" s="9" t="s">
        <v>11</v>
      </c>
      <c r="B77" s="8">
        <f t="shared" ref="B77:O77" si="97">B58</f>
        <v>552977.52526999998</v>
      </c>
      <c r="C77" s="8">
        <f t="shared" si="97"/>
        <v>612319.96532000008</v>
      </c>
      <c r="D77" s="8">
        <f t="shared" si="97"/>
        <v>567986.48859261256</v>
      </c>
      <c r="E77" s="8">
        <f t="shared" si="97"/>
        <v>876312.89295892802</v>
      </c>
      <c r="F77" s="8">
        <f t="shared" si="97"/>
        <v>930536.94739505358</v>
      </c>
      <c r="G77" s="8">
        <f t="shared" si="97"/>
        <v>982640.37799194735</v>
      </c>
      <c r="H77" s="8">
        <f t="shared" si="97"/>
        <v>1033077.7475207857</v>
      </c>
      <c r="I77" s="8">
        <f t="shared" si="97"/>
        <v>1082974.5442521353</v>
      </c>
      <c r="J77" s="8">
        <f t="shared" si="97"/>
        <v>1132334.5103545738</v>
      </c>
      <c r="K77" s="8">
        <f t="shared" si="97"/>
        <v>1181205.1580853397</v>
      </c>
      <c r="L77" s="8">
        <f t="shared" si="97"/>
        <v>1229588.3993392338</v>
      </c>
      <c r="M77" s="8">
        <f t="shared" si="97"/>
        <v>1277507.1948047332</v>
      </c>
      <c r="N77" s="8">
        <f t="shared" si="97"/>
        <v>1324992.8860436203</v>
      </c>
      <c r="O77" s="8">
        <f t="shared" si="97"/>
        <v>1372057.4018421019</v>
      </c>
      <c r="P77" s="8">
        <f t="shared" ref="P77" si="98">P58</f>
        <v>1418714.1658779955</v>
      </c>
    </row>
    <row r="78" spans="1:16" x14ac:dyDescent="0.35">
      <c r="A78" s="9" t="s">
        <v>19</v>
      </c>
      <c r="B78" s="8">
        <f t="shared" ref="B78:P78" si="99">B26</f>
        <v>491668.36000000004</v>
      </c>
      <c r="C78" s="8">
        <f t="shared" si="99"/>
        <v>498542.53</v>
      </c>
      <c r="D78" s="8">
        <f t="shared" si="99"/>
        <v>520569.52417005826</v>
      </c>
      <c r="E78" s="8">
        <f t="shared" si="99"/>
        <v>537823.80745464202</v>
      </c>
      <c r="F78" s="8">
        <f t="shared" si="99"/>
        <v>550892.38839611225</v>
      </c>
      <c r="G78" s="8">
        <f t="shared" si="99"/>
        <v>562661.59733263846</v>
      </c>
      <c r="H78" s="8">
        <f t="shared" si="99"/>
        <v>573567.13473145198</v>
      </c>
      <c r="I78" s="8">
        <f t="shared" si="99"/>
        <v>584710.69776752335</v>
      </c>
      <c r="J78" s="8">
        <f t="shared" si="99"/>
        <v>596078.41642424942</v>
      </c>
      <c r="K78" s="8">
        <f t="shared" si="99"/>
        <v>607697.71876140661</v>
      </c>
      <c r="L78" s="8">
        <f t="shared" si="99"/>
        <v>619554.27278211876</v>
      </c>
      <c r="M78" s="8">
        <f t="shared" si="99"/>
        <v>631650.56656342163</v>
      </c>
      <c r="N78" s="8">
        <f t="shared" si="99"/>
        <v>644002.48505921778</v>
      </c>
      <c r="O78" s="8">
        <f t="shared" si="99"/>
        <v>656602.10373931704</v>
      </c>
      <c r="P78" s="8">
        <f t="shared" si="99"/>
        <v>669448.89744216285</v>
      </c>
    </row>
    <row r="79" spans="1:16" x14ac:dyDescent="0.35">
      <c r="A79" s="9" t="s">
        <v>22</v>
      </c>
      <c r="B79" s="8">
        <f t="shared" ref="B79:P79" si="100">B28</f>
        <v>86285</v>
      </c>
      <c r="C79" s="8">
        <f t="shared" si="100"/>
        <v>86465</v>
      </c>
      <c r="D79" s="8">
        <f t="shared" si="100"/>
        <v>86465</v>
      </c>
      <c r="E79" s="8">
        <f t="shared" si="100"/>
        <v>100215</v>
      </c>
      <c r="F79" s="8">
        <f t="shared" si="100"/>
        <v>113965</v>
      </c>
      <c r="G79" s="8">
        <f t="shared" si="100"/>
        <v>127715</v>
      </c>
      <c r="H79" s="8">
        <f t="shared" si="100"/>
        <v>141465</v>
      </c>
      <c r="I79" s="8">
        <f t="shared" si="100"/>
        <v>155215</v>
      </c>
      <c r="J79" s="8">
        <f t="shared" si="100"/>
        <v>168965</v>
      </c>
      <c r="K79" s="8">
        <f t="shared" si="100"/>
        <v>182715</v>
      </c>
      <c r="L79" s="8">
        <f t="shared" si="100"/>
        <v>196465</v>
      </c>
      <c r="M79" s="8">
        <f t="shared" si="100"/>
        <v>210215</v>
      </c>
      <c r="N79" s="8">
        <f t="shared" si="100"/>
        <v>223965</v>
      </c>
      <c r="O79" s="8">
        <f t="shared" si="100"/>
        <v>237715</v>
      </c>
      <c r="P79" s="8">
        <f t="shared" si="100"/>
        <v>251465</v>
      </c>
    </row>
    <row r="80" spans="1:16" x14ac:dyDescent="0.35">
      <c r="A80" s="41" t="s">
        <v>23</v>
      </c>
      <c r="B80" s="39">
        <f t="shared" ref="B80" si="101">B77-B78</f>
        <v>61309.165269999939</v>
      </c>
      <c r="C80" s="39">
        <f t="shared" ref="C80:O80" si="102">C77-C78</f>
        <v>113777.43532000005</v>
      </c>
      <c r="D80" s="39">
        <f t="shared" si="102"/>
        <v>47416.964422554302</v>
      </c>
      <c r="E80" s="39">
        <f t="shared" si="102"/>
        <v>338489.08550428599</v>
      </c>
      <c r="F80" s="39">
        <f t="shared" si="102"/>
        <v>379644.55899894133</v>
      </c>
      <c r="G80" s="39">
        <f t="shared" si="102"/>
        <v>419978.78065930889</v>
      </c>
      <c r="H80" s="39">
        <f t="shared" si="102"/>
        <v>459510.61278933368</v>
      </c>
      <c r="I80" s="39">
        <f t="shared" si="102"/>
        <v>498263.84648461198</v>
      </c>
      <c r="J80" s="39">
        <f t="shared" si="102"/>
        <v>536256.09393032442</v>
      </c>
      <c r="K80" s="39">
        <f t="shared" si="102"/>
        <v>573507.4393239331</v>
      </c>
      <c r="L80" s="39">
        <f t="shared" si="102"/>
        <v>610034.126557115</v>
      </c>
      <c r="M80" s="39">
        <f t="shared" si="102"/>
        <v>645856.62824131153</v>
      </c>
      <c r="N80" s="39">
        <f t="shared" si="102"/>
        <v>680990.40098440251</v>
      </c>
      <c r="O80" s="39">
        <f t="shared" si="102"/>
        <v>715455.2981027849</v>
      </c>
      <c r="P80" s="39">
        <f t="shared" ref="P80" si="103">P77-P78</f>
        <v>749265.2684358327</v>
      </c>
    </row>
    <row r="81" spans="1:16" x14ac:dyDescent="0.35">
      <c r="A81" s="41" t="s">
        <v>27</v>
      </c>
      <c r="B81" s="39">
        <f t="shared" ref="B81" si="104">B77-(B78+B79)</f>
        <v>-24975.834730000119</v>
      </c>
      <c r="C81" s="39">
        <f t="shared" ref="C81:O81" si="105">C77-(C78+C79)</f>
        <v>27312.435320000048</v>
      </c>
      <c r="D81" s="39">
        <f t="shared" si="105"/>
        <v>-39048.035577445757</v>
      </c>
      <c r="E81" s="39">
        <f t="shared" si="105"/>
        <v>238274.08550428599</v>
      </c>
      <c r="F81" s="39">
        <f t="shared" si="105"/>
        <v>265679.55899894133</v>
      </c>
      <c r="G81" s="39">
        <f t="shared" si="105"/>
        <v>292263.78065930889</v>
      </c>
      <c r="H81" s="39">
        <f t="shared" si="105"/>
        <v>318045.61278933368</v>
      </c>
      <c r="I81" s="39">
        <f t="shared" si="105"/>
        <v>343048.84648461198</v>
      </c>
      <c r="J81" s="39">
        <f t="shared" si="105"/>
        <v>367291.09393032442</v>
      </c>
      <c r="K81" s="39">
        <f t="shared" si="105"/>
        <v>390792.4393239331</v>
      </c>
      <c r="L81" s="39">
        <f t="shared" si="105"/>
        <v>413569.126557115</v>
      </c>
      <c r="M81" s="39">
        <f t="shared" si="105"/>
        <v>435641.62824131153</v>
      </c>
      <c r="N81" s="39">
        <f t="shared" si="105"/>
        <v>457025.40098440251</v>
      </c>
      <c r="O81" s="39">
        <f t="shared" si="105"/>
        <v>477740.2981027849</v>
      </c>
      <c r="P81" s="39">
        <f t="shared" ref="P81" si="106">P77-(P78+P79)</f>
        <v>497800.2684358327</v>
      </c>
    </row>
    <row r="82" spans="1:16" x14ac:dyDescent="0.35">
      <c r="B82" s="7"/>
      <c r="C82" s="7"/>
    </row>
    <row r="83" spans="1:16" x14ac:dyDescent="0.35">
      <c r="A83" s="10" t="s">
        <v>55</v>
      </c>
      <c r="B83" s="17">
        <v>2023</v>
      </c>
      <c r="C83" s="17">
        <v>2024</v>
      </c>
      <c r="D83" s="17">
        <v>2025</v>
      </c>
      <c r="E83" s="17">
        <f t="shared" ref="E83" si="107">D83+1</f>
        <v>2026</v>
      </c>
      <c r="F83" s="17">
        <f t="shared" ref="F83" si="108">E83+1</f>
        <v>2027</v>
      </c>
      <c r="G83" s="17">
        <f t="shared" ref="G83" si="109">F83+1</f>
        <v>2028</v>
      </c>
      <c r="H83" s="17">
        <f t="shared" ref="H83" si="110">G83+1</f>
        <v>2029</v>
      </c>
      <c r="I83" s="17">
        <f t="shared" ref="I83" si="111">H83+1</f>
        <v>2030</v>
      </c>
      <c r="J83" s="17">
        <f t="shared" ref="J83" si="112">I83+1</f>
        <v>2031</v>
      </c>
      <c r="K83" s="17">
        <f t="shared" ref="K83" si="113">J83+1</f>
        <v>2032</v>
      </c>
      <c r="L83" s="17">
        <f t="shared" ref="L83" si="114">K83+1</f>
        <v>2033</v>
      </c>
      <c r="M83" s="17">
        <f t="shared" ref="M83" si="115">L83+1</f>
        <v>2034</v>
      </c>
      <c r="N83" s="17">
        <f t="shared" ref="N83" si="116">M83+1</f>
        <v>2035</v>
      </c>
      <c r="O83" s="17">
        <f t="shared" ref="O83:P83" si="117">N83+1</f>
        <v>2036</v>
      </c>
      <c r="P83" s="17">
        <f t="shared" si="117"/>
        <v>2037</v>
      </c>
    </row>
    <row r="84" spans="1:16" x14ac:dyDescent="0.35">
      <c r="A84" s="9" t="s">
        <v>35</v>
      </c>
      <c r="B84" s="22">
        <f t="shared" ref="B84:C84" si="118">B58</f>
        <v>552977.52526999998</v>
      </c>
      <c r="C84" s="22">
        <f t="shared" si="118"/>
        <v>612319.96532000008</v>
      </c>
      <c r="D84" s="22">
        <f t="shared" ref="D84:O84" si="119">D58</f>
        <v>567986.48859261256</v>
      </c>
      <c r="E84" s="22">
        <f t="shared" si="119"/>
        <v>876312.89295892802</v>
      </c>
      <c r="F84" s="22">
        <f t="shared" si="119"/>
        <v>930536.94739505358</v>
      </c>
      <c r="G84" s="22">
        <f t="shared" si="119"/>
        <v>982640.37799194735</v>
      </c>
      <c r="H84" s="22">
        <f t="shared" si="119"/>
        <v>1033077.7475207857</v>
      </c>
      <c r="I84" s="22">
        <f t="shared" si="119"/>
        <v>1082974.5442521353</v>
      </c>
      <c r="J84" s="22">
        <f t="shared" si="119"/>
        <v>1132334.5103545738</v>
      </c>
      <c r="K84" s="22">
        <f t="shared" si="119"/>
        <v>1181205.1580853397</v>
      </c>
      <c r="L84" s="22">
        <f t="shared" si="119"/>
        <v>1229588.3993392338</v>
      </c>
      <c r="M84" s="22">
        <f t="shared" si="119"/>
        <v>1277507.1948047332</v>
      </c>
      <c r="N84" s="22">
        <f t="shared" si="119"/>
        <v>1324992.8860436203</v>
      </c>
      <c r="O84" s="22">
        <f t="shared" si="119"/>
        <v>1372057.4018421019</v>
      </c>
      <c r="P84" s="22">
        <f t="shared" ref="P84" si="120">P58</f>
        <v>1418714.1658779955</v>
      </c>
    </row>
    <row r="85" spans="1:16" ht="14.4" customHeight="1" x14ac:dyDescent="0.35">
      <c r="A85" s="43" t="s">
        <v>48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</row>
    <row r="86" spans="1:16" x14ac:dyDescent="0.35">
      <c r="A86" s="9" t="s">
        <v>36</v>
      </c>
      <c r="B86" s="22">
        <f t="shared" ref="B86:C86" si="121">B26</f>
        <v>491668.36000000004</v>
      </c>
      <c r="C86" s="22">
        <f t="shared" si="121"/>
        <v>498542.53</v>
      </c>
      <c r="D86" s="22">
        <f t="shared" ref="D86:P86" si="122">D26</f>
        <v>520569.52417005826</v>
      </c>
      <c r="E86" s="22">
        <f t="shared" si="122"/>
        <v>537823.80745464202</v>
      </c>
      <c r="F86" s="22">
        <f t="shared" si="122"/>
        <v>550892.38839611225</v>
      </c>
      <c r="G86" s="22">
        <f t="shared" si="122"/>
        <v>562661.59733263846</v>
      </c>
      <c r="H86" s="22">
        <f t="shared" si="122"/>
        <v>573567.13473145198</v>
      </c>
      <c r="I86" s="22">
        <f t="shared" si="122"/>
        <v>584710.69776752335</v>
      </c>
      <c r="J86" s="22">
        <f t="shared" si="122"/>
        <v>596078.41642424942</v>
      </c>
      <c r="K86" s="22">
        <f t="shared" si="122"/>
        <v>607697.71876140661</v>
      </c>
      <c r="L86" s="22">
        <f t="shared" si="122"/>
        <v>619554.27278211876</v>
      </c>
      <c r="M86" s="22">
        <f t="shared" si="122"/>
        <v>631650.56656342163</v>
      </c>
      <c r="N86" s="22">
        <f t="shared" si="122"/>
        <v>644002.48505921778</v>
      </c>
      <c r="O86" s="22">
        <f t="shared" si="122"/>
        <v>656602.10373931704</v>
      </c>
      <c r="P86" s="22">
        <f t="shared" si="122"/>
        <v>669448.89744216285</v>
      </c>
    </row>
    <row r="87" spans="1:16" x14ac:dyDescent="0.35">
      <c r="A87" s="9" t="s">
        <v>37</v>
      </c>
      <c r="B87" s="22">
        <v>0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</row>
    <row r="88" spans="1:16" x14ac:dyDescent="0.35">
      <c r="A88" s="9" t="s">
        <v>38</v>
      </c>
      <c r="B88" s="22">
        <f t="shared" ref="B88:C88" si="123">B64+B65</f>
        <v>30445</v>
      </c>
      <c r="C88" s="22">
        <f t="shared" si="123"/>
        <v>31534</v>
      </c>
      <c r="D88" s="22">
        <f>D64+D65</f>
        <v>28453.594000000001</v>
      </c>
      <c r="E88" s="22">
        <f t="shared" ref="E88:P88" si="124">E64+E65</f>
        <v>27179.511999999999</v>
      </c>
      <c r="F88" s="22">
        <f t="shared" si="124"/>
        <v>21246.234</v>
      </c>
      <c r="G88" s="22">
        <f t="shared" si="124"/>
        <v>19319.955999999998</v>
      </c>
      <c r="H88" s="22">
        <f t="shared" si="124"/>
        <v>18740.673999999999</v>
      </c>
      <c r="I88" s="22">
        <f t="shared" si="124"/>
        <v>18161.392</v>
      </c>
      <c r="J88" s="22">
        <f t="shared" si="124"/>
        <v>17595.875499999998</v>
      </c>
      <c r="K88" s="22">
        <f t="shared" si="124"/>
        <v>0</v>
      </c>
      <c r="L88" s="22">
        <f t="shared" si="124"/>
        <v>0</v>
      </c>
      <c r="M88" s="22">
        <f t="shared" si="124"/>
        <v>0</v>
      </c>
      <c r="N88" s="22">
        <f t="shared" si="124"/>
        <v>0</v>
      </c>
      <c r="O88" s="22">
        <f t="shared" si="124"/>
        <v>0</v>
      </c>
      <c r="P88" s="22">
        <f t="shared" si="124"/>
        <v>0</v>
      </c>
    </row>
    <row r="89" spans="1:16" x14ac:dyDescent="0.35">
      <c r="A89" s="41" t="s">
        <v>56</v>
      </c>
      <c r="B89" s="46">
        <f t="shared" ref="B89:C89" si="125">B84+B85-B86-B87-B88</f>
        <v>30864.165269999939</v>
      </c>
      <c r="C89" s="46">
        <f t="shared" si="125"/>
        <v>82243.435320000048</v>
      </c>
      <c r="D89" s="46">
        <f t="shared" ref="D89:P89" si="126">D84+D85-D86-D87-D88</f>
        <v>18963.370422554301</v>
      </c>
      <c r="E89" s="46">
        <f t="shared" si="126"/>
        <v>311309.573504286</v>
      </c>
      <c r="F89" s="46">
        <f t="shared" si="126"/>
        <v>358398.32499894133</v>
      </c>
      <c r="G89" s="46">
        <f t="shared" si="126"/>
        <v>400658.82465930888</v>
      </c>
      <c r="H89" s="46">
        <f t="shared" si="126"/>
        <v>440769.93878933368</v>
      </c>
      <c r="I89" s="46">
        <f t="shared" si="126"/>
        <v>480102.45448461198</v>
      </c>
      <c r="J89" s="46">
        <f t="shared" si="126"/>
        <v>518660.2184303244</v>
      </c>
      <c r="K89" s="46">
        <f t="shared" si="126"/>
        <v>573507.4393239331</v>
      </c>
      <c r="L89" s="46">
        <f t="shared" si="126"/>
        <v>610034.126557115</v>
      </c>
      <c r="M89" s="46">
        <f t="shared" si="126"/>
        <v>645856.62824131153</v>
      </c>
      <c r="N89" s="46">
        <f t="shared" si="126"/>
        <v>680990.40098440251</v>
      </c>
      <c r="O89" s="46">
        <f t="shared" si="126"/>
        <v>715455.2981027849</v>
      </c>
      <c r="P89" s="46">
        <f t="shared" si="126"/>
        <v>749265.2684358327</v>
      </c>
    </row>
    <row r="90" spans="1:16" x14ac:dyDescent="0.35">
      <c r="A90" s="41" t="s">
        <v>53</v>
      </c>
      <c r="B90" s="41"/>
      <c r="C90" s="41"/>
      <c r="D90" s="46">
        <f>C90+D89</f>
        <v>18963.370422554301</v>
      </c>
      <c r="E90" s="46">
        <f t="shared" ref="E90:P90" si="127">D90+E89</f>
        <v>330272.94392684032</v>
      </c>
      <c r="F90" s="46">
        <f t="shared" si="127"/>
        <v>688671.26892578159</v>
      </c>
      <c r="G90" s="46">
        <f t="shared" si="127"/>
        <v>1089330.0935850905</v>
      </c>
      <c r="H90" s="46">
        <f t="shared" si="127"/>
        <v>1530100.0323744242</v>
      </c>
      <c r="I90" s="46">
        <f t="shared" si="127"/>
        <v>2010202.4868590361</v>
      </c>
      <c r="J90" s="46">
        <f t="shared" si="127"/>
        <v>2528862.7052893606</v>
      </c>
      <c r="K90" s="46">
        <f t="shared" si="127"/>
        <v>3102370.1446132939</v>
      </c>
      <c r="L90" s="46">
        <f t="shared" si="127"/>
        <v>3712404.2711704089</v>
      </c>
      <c r="M90" s="46">
        <f t="shared" si="127"/>
        <v>4358260.8994117202</v>
      </c>
      <c r="N90" s="46">
        <f t="shared" si="127"/>
        <v>5039251.300396123</v>
      </c>
      <c r="O90" s="46">
        <f t="shared" si="127"/>
        <v>5754706.5984989079</v>
      </c>
      <c r="P90" s="46">
        <f t="shared" si="127"/>
        <v>6503971.8669347409</v>
      </c>
    </row>
  </sheetData>
  <pageMargins left="0.7" right="0.7" top="0.75" bottom="0.75" header="0.3" footer="0.3"/>
  <pageSetup paperSize="9" orientation="portrait" r:id="rId1"/>
  <ignoredErrors>
    <ignoredError sqref="H21 D37:O37 D55 O48 M42:M44" formula="1"/>
    <ignoredError sqref="C81:O81 B7 E7:O7" evalError="1"/>
    <ignoredError sqref="B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Ramsi VK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2025-09-05T12:08:07Z</dcterms:modified>
</cp:coreProperties>
</file>